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in-uhohpt4sf46\ВСЁ\ЗАКУПКИ 2026\ТОРГОВЫЕ ПРОЦЕДУРЫ 2026г\2. МЕДОСМОТРЫ\Документация аукциона\"/>
    </mc:Choice>
  </mc:AlternateContent>
  <bookViews>
    <workbookView xWindow="120" yWindow="45" windowWidth="23895" windowHeight="9975" firstSheet="2" activeTab="2"/>
  </bookViews>
  <sheets>
    <sheet name="НМЦД" sheetId="1" r:id="rId1"/>
    <sheet name="Развернутое обоснование НМЦД" sheetId="5" r:id="rId2"/>
    <sheet name="Краткое обосн. НМЦД" sheetId="6" r:id="rId3"/>
  </sheets>
  <calcPr calcId="162913"/>
</workbook>
</file>

<file path=xl/calcChain.xml><?xml version="1.0" encoding="utf-8"?>
<calcChain xmlns="http://schemas.openxmlformats.org/spreadsheetml/2006/main">
  <c r="P16" i="6" l="1"/>
  <c r="N16" i="6"/>
  <c r="O16" i="6"/>
  <c r="O39" i="5"/>
  <c r="P33" i="1"/>
  <c r="P17" i="1"/>
  <c r="O33" i="1"/>
  <c r="N39" i="5"/>
  <c r="M39" i="5"/>
  <c r="M32" i="5"/>
  <c r="M20" i="5"/>
  <c r="O17" i="1"/>
  <c r="Q17" i="1" s="1"/>
  <c r="K16" i="6"/>
  <c r="L16" i="6"/>
  <c r="K39" i="1"/>
  <c r="J39" i="1"/>
  <c r="I32" i="1"/>
  <c r="I20" i="1"/>
  <c r="M42" i="5"/>
  <c r="P36" i="5"/>
  <c r="Q36" i="5"/>
  <c r="R36" i="5"/>
  <c r="P33" i="5"/>
  <c r="Q33" i="5"/>
  <c r="R33" i="5"/>
  <c r="P31" i="5"/>
  <c r="Q31" i="5"/>
  <c r="R31" i="5"/>
  <c r="Q16" i="5"/>
  <c r="R16" i="5"/>
  <c r="P16" i="5"/>
  <c r="I39" i="1"/>
  <c r="H16" i="1"/>
  <c r="R16" i="1" s="1"/>
  <c r="S16" i="1" s="1"/>
  <c r="T16" i="1" s="1"/>
  <c r="L16" i="1" l="1"/>
  <c r="Q33" i="1"/>
  <c r="O18" i="1"/>
  <c r="O19" i="1"/>
  <c r="O20" i="1"/>
  <c r="O21" i="1"/>
  <c r="O22" i="1"/>
  <c r="O23" i="1"/>
  <c r="O24" i="1"/>
  <c r="O25" i="1"/>
  <c r="O26" i="1"/>
  <c r="O27" i="1"/>
  <c r="O28" i="1"/>
  <c r="O30" i="1"/>
  <c r="O31" i="1"/>
  <c r="U31" i="1" s="1"/>
  <c r="O32" i="1"/>
  <c r="O34" i="1"/>
  <c r="O35" i="1"/>
  <c r="O36" i="1"/>
  <c r="O37" i="1"/>
  <c r="O38" i="1"/>
  <c r="O39" i="1"/>
  <c r="P39" i="1"/>
  <c r="Q39" i="1" s="1"/>
  <c r="H40" i="1"/>
  <c r="H39" i="1"/>
  <c r="R39" i="1" s="1"/>
  <c r="H38" i="1"/>
  <c r="H37" i="1"/>
  <c r="H36" i="1"/>
  <c r="H35" i="1"/>
  <c r="H34" i="1"/>
  <c r="H33" i="1"/>
  <c r="H32" i="1"/>
  <c r="H31" i="1"/>
  <c r="H30" i="1"/>
  <c r="H29" i="1"/>
  <c r="H28" i="1"/>
  <c r="H27" i="1"/>
  <c r="H26" i="1"/>
  <c r="H25" i="1"/>
  <c r="H24" i="1"/>
  <c r="H23" i="1"/>
  <c r="H22" i="1"/>
  <c r="H21" i="1"/>
  <c r="H20" i="1"/>
  <c r="H19" i="1"/>
  <c r="H18" i="1"/>
  <c r="H17" i="1"/>
  <c r="P28" i="1"/>
  <c r="L28" i="5"/>
  <c r="P28" i="5" s="1"/>
  <c r="P27" i="1"/>
  <c r="L29" i="5"/>
  <c r="R29" i="5" s="1"/>
  <c r="L39" i="5"/>
  <c r="L40" i="5"/>
  <c r="P25" i="1"/>
  <c r="P23" i="1"/>
  <c r="P19" i="1"/>
  <c r="N20" i="1"/>
  <c r="M16" i="1"/>
  <c r="O16" i="1"/>
  <c r="U16" i="1" s="1"/>
  <c r="P16" i="1"/>
  <c r="P18" i="1"/>
  <c r="P21" i="1"/>
  <c r="L34" i="5"/>
  <c r="P34" i="5" s="1"/>
  <c r="Q16" i="1" l="1"/>
  <c r="U37" i="1"/>
  <c r="M39" i="1"/>
  <c r="R24" i="1"/>
  <c r="M24" i="1"/>
  <c r="M26" i="1"/>
  <c r="R26" i="1"/>
  <c r="R27" i="1"/>
  <c r="S27" i="1" s="1"/>
  <c r="T27" i="1" s="1"/>
  <c r="M27" i="1"/>
  <c r="N28" i="1"/>
  <c r="R28" i="1"/>
  <c r="S28" i="1" s="1"/>
  <c r="T28" i="1" s="1"/>
  <c r="M28" i="1"/>
  <c r="M30" i="1"/>
  <c r="R30" i="1"/>
  <c r="N27" i="1"/>
  <c r="M36" i="1"/>
  <c r="R36" i="1"/>
  <c r="S36" i="1" s="1"/>
  <c r="T36" i="1" s="1"/>
  <c r="L36" i="1"/>
  <c r="L17" i="1"/>
  <c r="R17" i="1"/>
  <c r="M17" i="1"/>
  <c r="U17" i="1"/>
  <c r="Q21" i="1"/>
  <c r="R19" i="1"/>
  <c r="S19" i="1" s="1"/>
  <c r="T19" i="1" s="1"/>
  <c r="M19" i="1"/>
  <c r="M20" i="1"/>
  <c r="R20" i="1"/>
  <c r="S20" i="1" s="1"/>
  <c r="T20" i="1" s="1"/>
  <c r="N21" i="1"/>
  <c r="M21" i="1"/>
  <c r="R21" i="1"/>
  <c r="R22" i="1"/>
  <c r="M22" i="1"/>
  <c r="R25" i="1"/>
  <c r="M25" i="1"/>
  <c r="M31" i="1"/>
  <c r="R31" i="1"/>
  <c r="L31" i="1"/>
  <c r="R32" i="1"/>
  <c r="M32" i="1"/>
  <c r="R33" i="1"/>
  <c r="S33" i="1" s="1"/>
  <c r="T33" i="1" s="1"/>
  <c r="M33" i="1"/>
  <c r="L33" i="1"/>
  <c r="R34" i="1"/>
  <c r="M34" i="1"/>
  <c r="M35" i="1"/>
  <c r="R35" i="1"/>
  <c r="M37" i="1"/>
  <c r="R37" i="1"/>
  <c r="M18" i="1"/>
  <c r="R18" i="1"/>
  <c r="S18" i="1" s="1"/>
  <c r="T18" i="1" s="1"/>
  <c r="M38" i="1"/>
  <c r="R38" i="1"/>
  <c r="U40" i="1"/>
  <c r="M40" i="1"/>
  <c r="R23" i="1"/>
  <c r="M23" i="1"/>
  <c r="U33" i="1"/>
  <c r="U39" i="1"/>
  <c r="Q28" i="1"/>
  <c r="N39" i="1"/>
  <c r="S39" i="1"/>
  <c r="T39" i="1" s="1"/>
  <c r="U38" i="1"/>
  <c r="R28" i="5"/>
  <c r="Q28" i="5"/>
  <c r="Q29" i="5"/>
  <c r="U28" i="1"/>
  <c r="L28" i="1"/>
  <c r="U27" i="1"/>
  <c r="Q19" i="1"/>
  <c r="L21" i="1"/>
  <c r="U21" i="1"/>
  <c r="Q27" i="1"/>
  <c r="P20" i="1"/>
  <c r="U20" i="1"/>
  <c r="L20" i="1"/>
  <c r="U18" i="1"/>
  <c r="L18" i="1"/>
  <c r="N19" i="1"/>
  <c r="S21" i="1"/>
  <c r="T21" i="1" s="1"/>
  <c r="S17" i="1"/>
  <c r="T17" i="1" s="1"/>
  <c r="U19" i="1"/>
  <c r="N17" i="1"/>
  <c r="L19" i="1"/>
  <c r="Q18" i="1"/>
  <c r="N18" i="1"/>
  <c r="N16" i="1"/>
  <c r="R34" i="5"/>
  <c r="Q34" i="5"/>
  <c r="N40" i="1"/>
  <c r="P22" i="1"/>
  <c r="Q22" i="1" s="1"/>
  <c r="Q23" i="1"/>
  <c r="P24" i="1"/>
  <c r="Q24" i="1" s="1"/>
  <c r="Q25" i="1"/>
  <c r="P26" i="1"/>
  <c r="P30" i="1"/>
  <c r="P31" i="1"/>
  <c r="P32" i="1"/>
  <c r="Q32" i="1" s="1"/>
  <c r="P34" i="1"/>
  <c r="P35" i="1"/>
  <c r="U36" i="1"/>
  <c r="P36" i="1"/>
  <c r="Q36" i="1" s="1"/>
  <c r="P37" i="1"/>
  <c r="S40" i="1"/>
  <c r="T40" i="1" s="1"/>
  <c r="S41" i="1"/>
  <c r="T41" i="1" s="1"/>
  <c r="Q34" i="1" l="1"/>
  <c r="Q20" i="1"/>
  <c r="Q30" i="1"/>
  <c r="Q26" i="1"/>
  <c r="Q35" i="1"/>
  <c r="Q31" i="1"/>
  <c r="Q37" i="1"/>
  <c r="L32" i="1" l="1"/>
  <c r="L38" i="1"/>
  <c r="L34" i="1"/>
  <c r="L30" i="1"/>
  <c r="L27" i="1"/>
  <c r="L26" i="1"/>
  <c r="L25" i="1"/>
  <c r="L23" i="1"/>
  <c r="O42" i="5"/>
  <c r="N42" i="5"/>
  <c r="M16" i="6"/>
  <c r="L36" i="5"/>
  <c r="N38" i="1" l="1"/>
  <c r="L24" i="1"/>
  <c r="P38" i="1"/>
  <c r="U22" i="1"/>
  <c r="S22" i="1"/>
  <c r="T22" i="1" s="1"/>
  <c r="N22" i="1"/>
  <c r="N25" i="1"/>
  <c r="U25" i="1"/>
  <c r="S25" i="1"/>
  <c r="T25" i="1" s="1"/>
  <c r="L39" i="1"/>
  <c r="S30" i="1"/>
  <c r="T30" i="1" s="1"/>
  <c r="N30" i="1"/>
  <c r="U30" i="1"/>
  <c r="S35" i="1"/>
  <c r="T35" i="1" s="1"/>
  <c r="U35" i="1"/>
  <c r="N35" i="1"/>
  <c r="L35" i="1"/>
  <c r="N36" i="1"/>
  <c r="N23" i="1"/>
  <c r="S23" i="1"/>
  <c r="T23" i="1" s="1"/>
  <c r="U23" i="1"/>
  <c r="N24" i="1"/>
  <c r="S24" i="1"/>
  <c r="T24" i="1" s="1"/>
  <c r="U24" i="1"/>
  <c r="L22" i="1"/>
  <c r="S34" i="1"/>
  <c r="T34" i="1" s="1"/>
  <c r="N34" i="1"/>
  <c r="U34" i="1"/>
  <c r="S38" i="1"/>
  <c r="T38" i="1" s="1"/>
  <c r="N37" i="1"/>
  <c r="S37" i="1"/>
  <c r="T37" i="1" s="1"/>
  <c r="L37" i="1"/>
  <c r="S32" i="1"/>
  <c r="T32" i="1" s="1"/>
  <c r="N32" i="1"/>
  <c r="U32" i="1"/>
  <c r="N31" i="1"/>
  <c r="S31" i="1"/>
  <c r="T31" i="1" s="1"/>
  <c r="S26" i="1"/>
  <c r="T26" i="1" s="1"/>
  <c r="U26" i="1"/>
  <c r="N26" i="1"/>
  <c r="U42" i="1" l="1"/>
  <c r="N50" i="1" s="1"/>
  <c r="N42" i="1"/>
  <c r="Q38" i="1"/>
  <c r="L42" i="1"/>
  <c r="M42" i="1"/>
  <c r="G45" i="6" l="1"/>
  <c r="G45" i="5"/>
  <c r="G36" i="6"/>
  <c r="G37" i="6"/>
  <c r="G38" i="6"/>
  <c r="R39" i="5" l="1"/>
  <c r="L38" i="5"/>
  <c r="R38" i="5" s="1"/>
  <c r="L35" i="5"/>
  <c r="L37" i="5"/>
  <c r="R37" i="5" s="1"/>
  <c r="L31" i="5"/>
  <c r="L32" i="5"/>
  <c r="R32" i="5" s="1"/>
  <c r="L33" i="5"/>
  <c r="L17" i="5"/>
  <c r="R17" i="5" s="1"/>
  <c r="L18" i="5"/>
  <c r="R18" i="5" s="1"/>
  <c r="L19" i="5"/>
  <c r="L20" i="5"/>
  <c r="R20" i="5" s="1"/>
  <c r="L21" i="5"/>
  <c r="R21" i="5" s="1"/>
  <c r="L22" i="5"/>
  <c r="R22" i="5" s="1"/>
  <c r="L23" i="5"/>
  <c r="R23" i="5" s="1"/>
  <c r="L24" i="5"/>
  <c r="R24" i="5" s="1"/>
  <c r="L25" i="5"/>
  <c r="R25" i="5" s="1"/>
  <c r="L26" i="5"/>
  <c r="R26" i="5" s="1"/>
  <c r="L27" i="5"/>
  <c r="R27" i="5" s="1"/>
  <c r="L30" i="5"/>
  <c r="R30" i="5" s="1"/>
  <c r="L16" i="5"/>
  <c r="R35" i="5" l="1"/>
  <c r="P35" i="5"/>
  <c r="Q19" i="5"/>
  <c r="R19" i="5"/>
  <c r="P39" i="5"/>
  <c r="Q39" i="5"/>
  <c r="Q38" i="5"/>
  <c r="P38" i="5"/>
  <c r="Q37" i="5"/>
  <c r="P37" i="5"/>
  <c r="Q35" i="5"/>
  <c r="Q30" i="5"/>
  <c r="P30" i="5"/>
  <c r="Q27" i="5"/>
  <c r="P27" i="5"/>
  <c r="Q25" i="5"/>
  <c r="P25" i="5"/>
  <c r="Q24" i="5"/>
  <c r="P24" i="5"/>
  <c r="Q23" i="5"/>
  <c r="P23" i="5"/>
  <c r="Q22" i="5"/>
  <c r="P22" i="5"/>
  <c r="Q21" i="5"/>
  <c r="P21" i="5"/>
  <c r="Q20" i="5"/>
  <c r="P20" i="5"/>
  <c r="P19" i="5"/>
  <c r="Q18" i="5"/>
  <c r="P18" i="5"/>
  <c r="Q17" i="5"/>
  <c r="P17" i="5"/>
  <c r="R42" i="5" l="1"/>
  <c r="N61" i="5"/>
  <c r="O61" i="5"/>
  <c r="P61" i="5"/>
  <c r="O60" i="5"/>
  <c r="N60" i="5"/>
  <c r="N59" i="5"/>
  <c r="N58" i="5"/>
  <c r="P60" i="5"/>
  <c r="P59" i="5"/>
  <c r="O59" i="5"/>
  <c r="P58" i="5"/>
  <c r="O58" i="5"/>
  <c r="P26" i="5" l="1"/>
  <c r="Q26" i="5"/>
  <c r="Q32" i="5"/>
  <c r="P32" i="5"/>
  <c r="P42" i="5" s="1"/>
  <c r="Q42" i="5" l="1"/>
  <c r="T16" i="5" s="1"/>
  <c r="S16" i="5" l="1"/>
  <c r="Y16" i="5"/>
  <c r="T16" i="6" l="1"/>
  <c r="T44" i="6" s="1"/>
  <c r="U16" i="5"/>
  <c r="V16" i="5"/>
  <c r="Q16" i="6" l="1"/>
  <c r="W16" i="5"/>
  <c r="R16" i="6" s="1"/>
  <c r="X16" i="5" l="1"/>
  <c r="S16" i="6" s="1"/>
</calcChain>
</file>

<file path=xl/sharedStrings.xml><?xml version="1.0" encoding="utf-8"?>
<sst xmlns="http://schemas.openxmlformats.org/spreadsheetml/2006/main" count="272" uniqueCount="111">
  <si>
    <t>расчет начальной (максимальной ) цены договора (НМЦД)</t>
  </si>
  <si>
    <t>№</t>
  </si>
  <si>
    <t>наименование предмета договора</t>
  </si>
  <si>
    <t>ед.изм.</t>
  </si>
  <si>
    <t>коммерческие предложения (руб./ед.изм.)</t>
  </si>
  <si>
    <t>оценка однородности совакупности значений выявленных цен, используемых в расчете Н(М)ЦД</t>
  </si>
  <si>
    <t xml:space="preserve">среднее квадратичное отклонение </t>
  </si>
  <si>
    <t>средняя арифметическая цена за еденицу &lt;ц&gt;</t>
  </si>
  <si>
    <t xml:space="preserve">коэффициент вариации цен, V, (%) (не должен превышать 33%) </t>
  </si>
  <si>
    <t>Расчет Н(М)ЦД по формуле V-количество (объем) закупаемого товара (работы,услуги)</t>
  </si>
  <si>
    <t>цена за еденицу изм. (руб.)</t>
  </si>
  <si>
    <t>Н(М)ЦД договора с учетом огкругления цены за еденицу (руб.)</t>
  </si>
  <si>
    <t>Н(М)ЦД, определяемая методом сопостовимых рыночных цен (анализа рынка)*</t>
  </si>
  <si>
    <t>В результате проведенного расчета Н(М)ЦД договора составила:</t>
  </si>
  <si>
    <t>Расчет договора заключается по минимальной цене и не превышает расчитанную цену по данному договору</t>
  </si>
  <si>
    <t>цена за еденицу изм. с округлением (вниз) до сотых долей после запятой (руб.)</t>
  </si>
  <si>
    <t>итого</t>
  </si>
  <si>
    <t>основные характеристики объекта закупки</t>
  </si>
  <si>
    <t>используемый метод определения НМЦД с обоснованием</t>
  </si>
  <si>
    <t>в соответствии со спецификацией (Приложением № 1, являющимся неотъемлемой частью настоящего договора)</t>
  </si>
  <si>
    <t>Муниципальное автономное общеобразовательное учреждение</t>
  </si>
  <si>
    <t>ИНН 7453035639  КПП 745301001  л/сч. № 3047307042А в Комитете финансов  города Челябинска</t>
  </si>
  <si>
    <t>Волошина М.П.</t>
  </si>
  <si>
    <t>Контрактный управляющий</t>
  </si>
  <si>
    <t>«Многопрофильный лицей № 148 г.Челябинска»</t>
  </si>
  <si>
    <t>чел.</t>
  </si>
  <si>
    <t>ЭКГ (электрокардиографическое исследование) с описанием</t>
  </si>
  <si>
    <t>Флюорография или рентгенография легких</t>
  </si>
  <si>
    <t>кол-во мужчин до 40 лет</t>
  </si>
  <si>
    <t>кол-во мужчин после 40 лет</t>
  </si>
  <si>
    <t>кол-во женщин до 40 лет</t>
  </si>
  <si>
    <t>кол-во женщин после 40 лет</t>
  </si>
  <si>
    <t>всего кол-во</t>
  </si>
  <si>
    <t>цена за 1 чел.</t>
  </si>
  <si>
    <t>стоимость всего</t>
  </si>
  <si>
    <t>Оказание услуг по проведению предварительных (первичных при поступлении на работу) и периодических медицинских осмотров и обследованию работников МАОУ «МЛ №148 г. Челябинска».</t>
  </si>
  <si>
    <t>Ед. измерения</t>
  </si>
  <si>
    <t>Кол-во</t>
  </si>
  <si>
    <t>человек</t>
  </si>
  <si>
    <t>перечень исследований</t>
  </si>
  <si>
    <t>Профилактический осмотр Врач-терапевт</t>
  </si>
  <si>
    <t>Профилактический осмотр Врач-психиатр</t>
  </si>
  <si>
    <t>Профилактический осмотр Врач-оториноларинголог</t>
  </si>
  <si>
    <t>Профилактический осмотр Врач-невролог</t>
  </si>
  <si>
    <t xml:space="preserve">Профилактический осмотр Врач-акушер-гинеколог </t>
  </si>
  <si>
    <t>Профилактический осмотр Врач- стоматолог</t>
  </si>
  <si>
    <t>УЗИ органов малого таза (женщ.)</t>
  </si>
  <si>
    <t>Профилактический осмотр Врач-дерматовенеролог</t>
  </si>
  <si>
    <t>Маммография 2 молочных желез или УЗИ молочных желез</t>
  </si>
  <si>
    <t>учитываются результаты ранее проведенных (не позднее одного года) предварительного или периодического осмотра, диспансеризации, иных медицинских осмотров, подтвержденных медицинскими документами</t>
  </si>
  <si>
    <t xml:space="preserve">Тонометрия (измерение внутриглазного давления при прохождении предварительного и периодического медицинского осмотра, начиная с 40 лет) </t>
  </si>
  <si>
    <r>
      <rPr>
        <b/>
        <sz val="10"/>
        <color theme="1"/>
        <rFont val="Times New Roman"/>
        <family val="1"/>
        <charset val="204"/>
      </rPr>
      <t>Обоснование начальной (максимальной) цены договора</t>
    </r>
    <r>
      <rPr>
        <sz val="10"/>
        <color theme="1"/>
        <rFont val="Times New Roman"/>
        <family val="1"/>
        <charset val="204"/>
      </rPr>
      <t xml:space="preserve">
Начальная (максимальная) цена договора сформирована на основании мониторинга цен, полученных от трех поставщиков услуг по проведению предварительных и периодических медицинских осмотров и обследованию работников, являющихся предметом договора, проведенного по инициативе заказчика. Для определения начальной (максимальной) цены договора использовано среднее значение цен поставщиков за услугу.
</t>
    </r>
  </si>
  <si>
    <t>____________________</t>
  </si>
  <si>
    <t xml:space="preserve">М. П. Волошина </t>
  </si>
  <si>
    <t>всего кол-во, чел.</t>
  </si>
  <si>
    <t>мужчины до 40 лет</t>
  </si>
  <si>
    <t>мужчины после 40 лет</t>
  </si>
  <si>
    <t>женщины до 40 лет</t>
  </si>
  <si>
    <t>м</t>
  </si>
  <si>
    <t>м40</t>
  </si>
  <si>
    <t>ж</t>
  </si>
  <si>
    <t>ж40</t>
  </si>
  <si>
    <t>Контрактный управляющий _________________________</t>
  </si>
  <si>
    <t>Обоснование начальной (максимальной) цены договора
Начальная (максимальная) цена договора сформирована на основании мониторинга цен, полученных от трех поставщиков услуг по проведению предварительных и периодических медицинских осмотров и обследованию работников, являющихся предметом договора, проведенного по инициативе заказчика. Для определения начальной (максимальной) цены договора использовано среднее значение цен поставщиков за услугу.</t>
  </si>
  <si>
    <t>средняя арифметическая цена за единицу &lt;ц&gt;</t>
  </si>
  <si>
    <t>в т.ч.             Кол-во чел.по категориям</t>
  </si>
  <si>
    <r>
      <t xml:space="preserve">используемый метод определения НМЦД с обоснованием - </t>
    </r>
    <r>
      <rPr>
        <sz val="10"/>
        <color theme="1"/>
        <rFont val="Times New Roman"/>
        <family val="1"/>
        <charset val="204"/>
      </rPr>
      <t>рыночный</t>
    </r>
  </si>
  <si>
    <t>используемый метод определения НМЦД с обоснованием - рыночный</t>
  </si>
  <si>
    <t>Профилактический осмотр Врач-нарколог / врач-психиатр-нарколог</t>
  </si>
  <si>
    <t>-</t>
  </si>
  <si>
    <t>женщины после 40 лет</t>
  </si>
  <si>
    <t>Исследования на носительство возбудителей кишечных инфекций и серологическое обследование на брюшной тиф при поступлении на работу и в дальнейшем - по эпидпоказаниям</t>
  </si>
  <si>
    <r>
      <rPr>
        <b/>
        <sz val="12"/>
        <color theme="1"/>
        <rFont val="Times New Roman"/>
        <family val="1"/>
        <charset val="204"/>
      </rPr>
      <t>Обоснование начальной (максимальной) цены договора</t>
    </r>
    <r>
      <rPr>
        <sz val="10"/>
        <color theme="1"/>
        <rFont val="Times New Roman"/>
        <family val="1"/>
        <charset val="204"/>
      </rPr>
      <t xml:space="preserve">
Начальная (максимальная) цена договора сформирована на основании мониторинга цен, полученных от трех поставщиков учебников, являющихся предметом договора, проведенного по инициативе заказчика. Для определения начальной (максимальной) цены договора использовано среднее значение цен поставщиков за единицу продукции.
</t>
    </r>
  </si>
  <si>
    <t>***   стоимость одноразовых материалов для взятия мазка входит в стоимость анализа</t>
  </si>
  <si>
    <t>**** учитываются результаты ранее проведенных (не позднее одного года) предварительного или периодического осмотра, диспансеризации, иных медицинских осмотров, подтвержденных медицинскими документами</t>
  </si>
  <si>
    <t>** стоимость услуги по забору крови входит в стоимость анализа</t>
  </si>
  <si>
    <t>* оформление первичной медицинской документации при проведении периодических и первичных мед. осмотров входит в стоимость медосмотра / прием врача-профпатолога</t>
  </si>
  <si>
    <t>Флюорография или рентгенография легких****</t>
  </si>
  <si>
    <t>Анализ крови на глюкозу**</t>
  </si>
  <si>
    <t>Анализ крови на холестерин**</t>
  </si>
  <si>
    <t>Цитологическое (гинекологическое) исследование (на атипичные клетки)***</t>
  </si>
  <si>
    <t>цена за ед. (1 человек)</t>
  </si>
  <si>
    <t>Общий анализ крови (гемоглобин, цветной показатель, эритроциты, тромбоциты, лейкоциты, лейкоцитарная формула, СОЭ)**</t>
  </si>
  <si>
    <t>Профилактический прием Врач-терапевта,  Врача-профпатолога (с выдачей заключения о профпригодности)*</t>
  </si>
  <si>
    <t>Анализ крови на сифилис**</t>
  </si>
  <si>
    <t>Анализ кала (исследования на гельминтозы)*****</t>
  </si>
  <si>
    <t>Общий анализ мочи (удельный вес, белок, сахар, микроскопия осадка)*****</t>
  </si>
  <si>
    <t>Бактериологическое исследование на флору***</t>
  </si>
  <si>
    <t xml:space="preserve">Взятие мазка одноразовыми материалами у мужчин </t>
  </si>
  <si>
    <t>Исследование отделяемого мочеполовых органов (мазок на  -  ИППП)</t>
  </si>
  <si>
    <t xml:space="preserve">Исследование отделяемого мочеполовых органов (мазок на гонорею)***   </t>
  </si>
  <si>
    <t>Входит в стоимость исследование отделяемого мочеполовых органов (ИППП)</t>
  </si>
  <si>
    <t>При определении Н(М)ЦД договора Заказчиком приминяется Приказ Минэкономразвития России от 02.10.2013 №567 "Об утверждении Методических рекомендаций по приминению методов определения начальной (максимальной) цены договора, цены договора,заключаемого с единственным поставщиком (подрядчиком, исполнителем) "Метод сопоставимых раночных цен (анализ рынка)</t>
  </si>
  <si>
    <t>***** Баночки (контейнеры) для сбора биоматериала стерильные предоставляются Исполнителем услуг</t>
  </si>
  <si>
    <t>Поставщик № 1 от 23.01.2026</t>
  </si>
  <si>
    <t>Поставщик № 3 от 23.01.2026</t>
  </si>
  <si>
    <r>
      <t xml:space="preserve">из них         235 чел.  </t>
    </r>
    <r>
      <rPr>
        <b/>
        <sz val="10"/>
        <color theme="1"/>
        <rFont val="Times New Roman"/>
        <family val="1"/>
        <charset val="204"/>
      </rPr>
      <t>периодические</t>
    </r>
    <r>
      <rPr>
        <sz val="10"/>
        <color theme="1"/>
        <rFont val="Times New Roman"/>
        <family val="1"/>
        <charset val="204"/>
      </rPr>
      <t xml:space="preserve"> медицинские осмотры</t>
    </r>
  </si>
  <si>
    <r>
      <t xml:space="preserve">из них            55 чел.  </t>
    </r>
    <r>
      <rPr>
        <b/>
        <sz val="9"/>
        <color theme="1"/>
        <rFont val="Times New Roman"/>
        <family val="1"/>
        <charset val="204"/>
      </rPr>
      <t>первичные</t>
    </r>
    <r>
      <rPr>
        <sz val="9"/>
        <color theme="1"/>
        <rFont val="Times New Roman"/>
        <family val="1"/>
        <charset val="204"/>
      </rPr>
      <t xml:space="preserve"> при поступлении на работу медицинские осмотры</t>
    </r>
  </si>
  <si>
    <t>цена за 290чел</t>
  </si>
  <si>
    <t>8(351)225-14-46</t>
  </si>
  <si>
    <t>из них          235 чел.  периодические медицинские осмотры</t>
  </si>
  <si>
    <t>из них             55 чел.  первичные при поступлении на работу медицинские осмотры</t>
  </si>
  <si>
    <t>Исследование отделяемого мочеполовых органов (мазок на гонорею ИППП)***  при первичном медосмотре</t>
  </si>
  <si>
    <t>Поставщик № 2 от 27.01.2026</t>
  </si>
  <si>
    <t xml:space="preserve">в том числе Взятие мазка одноразовыми материалами у мужчин </t>
  </si>
  <si>
    <t>(Один миллион сто пятнадцать тысяч двести восемь) рублей 33 копейки</t>
  </si>
  <si>
    <t>27.01.2026г.</t>
  </si>
  <si>
    <t xml:space="preserve">454004, г.Челябинск, улица Академика Сахарова, 17,  тел. 8(351)225-14-47  buh.sosh148@mail.ru
</t>
  </si>
  <si>
    <t xml:space="preserve">В результате проведенного расчета Н(М)ЦД договора составила: </t>
  </si>
  <si>
    <t xml:space="preserve">454004, г.Челябинск, улица Академика Сахарова,17,  тел. 8(351)225-14-46  buh.sosh148@mail.ru
</t>
  </si>
  <si>
    <t xml:space="preserve">454004, г.Челябинск, улица Академика Сахарова, 17,  тел. 8(351)225-14-46  buh.sosh148@mail.ru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</si>
</sst>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
  </numFmts>
  <fonts count="29" x14ac:knownFonts="1">
    <font>
      <sz val="11"/>
      <color theme="1"/>
      <name val="Calibri"/>
      <family val="2"/>
      <charset val="204"/>
      <scheme val="minor"/>
    </font>
    <font>
      <sz val="11"/>
      <color theme="1"/>
      <name val="Times New Roman"/>
      <family val="1"/>
      <charset val="204"/>
    </font>
    <font>
      <sz val="10"/>
      <color theme="1"/>
      <name val="Times New Roman"/>
      <family val="1"/>
      <charset val="204"/>
    </font>
    <font>
      <b/>
      <sz val="14"/>
      <color theme="1"/>
      <name val="Times New Roman"/>
      <family val="1"/>
      <charset val="204"/>
    </font>
    <font>
      <b/>
      <i/>
      <sz val="14"/>
      <color theme="1"/>
      <name val="Times New Roman"/>
      <family val="1"/>
      <charset val="204"/>
    </font>
    <font>
      <b/>
      <sz val="12"/>
      <color theme="1"/>
      <name val="Times New Roman"/>
      <family val="1"/>
      <charset val="204"/>
    </font>
    <font>
      <b/>
      <sz val="11"/>
      <color theme="1"/>
      <name val="Times New Roman"/>
      <family val="1"/>
      <charset val="204"/>
    </font>
    <font>
      <sz val="12"/>
      <color theme="1"/>
      <name val="Times New Roman"/>
      <family val="1"/>
      <charset val="204"/>
    </font>
    <font>
      <sz val="9"/>
      <color theme="1"/>
      <name val="Times New Roman"/>
      <family val="1"/>
      <charset val="204"/>
    </font>
    <font>
      <b/>
      <sz val="10"/>
      <color theme="1"/>
      <name val="Times New Roman"/>
      <family val="1"/>
      <charset val="204"/>
    </font>
    <font>
      <u/>
      <sz val="11"/>
      <color theme="1"/>
      <name val="Times New Roman"/>
      <family val="1"/>
      <charset val="204"/>
    </font>
    <font>
      <sz val="8"/>
      <color theme="1"/>
      <name val="Times New Roman"/>
      <family val="1"/>
      <charset val="204"/>
    </font>
    <font>
      <b/>
      <sz val="9"/>
      <name val="Times New Roman"/>
      <family val="1"/>
      <charset val="204"/>
    </font>
    <font>
      <sz val="8"/>
      <name val="Times New Roman"/>
      <family val="1"/>
      <charset val="204"/>
    </font>
    <font>
      <sz val="8"/>
      <color rgb="FFFF0000"/>
      <name val="Times New Roman"/>
      <family val="1"/>
      <charset val="204"/>
    </font>
    <font>
      <b/>
      <sz val="8"/>
      <color rgb="FFFF0000"/>
      <name val="Times New Roman"/>
      <family val="1"/>
      <charset val="204"/>
    </font>
    <font>
      <sz val="11"/>
      <name val="Times New Roman"/>
      <family val="1"/>
      <charset val="204"/>
    </font>
    <font>
      <sz val="7"/>
      <color theme="1"/>
      <name val="Times New Roman"/>
      <family val="1"/>
      <charset val="204"/>
    </font>
    <font>
      <sz val="10"/>
      <name val="Times New Roman"/>
      <family val="1"/>
      <charset val="204"/>
    </font>
    <font>
      <b/>
      <sz val="8"/>
      <color theme="1"/>
      <name val="Times New Roman"/>
      <family val="1"/>
      <charset val="204"/>
    </font>
    <font>
      <b/>
      <sz val="9"/>
      <color theme="1"/>
      <name val="Times New Roman"/>
      <family val="1"/>
      <charset val="204"/>
    </font>
    <font>
      <sz val="11"/>
      <color rgb="FFFF0000"/>
      <name val="Times New Roman"/>
      <family val="1"/>
      <charset val="204"/>
    </font>
    <font>
      <sz val="10"/>
      <color rgb="FFFF0000"/>
      <name val="Times New Roman"/>
      <family val="1"/>
      <charset val="204"/>
    </font>
    <font>
      <b/>
      <sz val="12"/>
      <color rgb="FFFF0000"/>
      <name val="Times New Roman"/>
      <family val="1"/>
      <charset val="204"/>
    </font>
    <font>
      <b/>
      <i/>
      <sz val="12"/>
      <color theme="1"/>
      <name val="Times New Roman"/>
      <family val="1"/>
      <charset val="204"/>
    </font>
    <font>
      <b/>
      <sz val="14"/>
      <color rgb="FFFF0000"/>
      <name val="Times New Roman"/>
      <family val="1"/>
      <charset val="204"/>
    </font>
    <font>
      <sz val="7.5"/>
      <name val="Times New Roman"/>
      <family val="1"/>
      <charset val="204"/>
    </font>
    <font>
      <sz val="12"/>
      <name val="Times New Roman"/>
      <family val="1"/>
      <charset val="204"/>
    </font>
    <font>
      <sz val="9"/>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249">
    <xf numFmtId="0" fontId="0" fillId="0" borderId="0" xfId="0"/>
    <xf numFmtId="0" fontId="1" fillId="0" borderId="0" xfId="0" applyFont="1"/>
    <xf numFmtId="0" fontId="1" fillId="0" borderId="1" xfId="0" applyFont="1" applyBorder="1"/>
    <xf numFmtId="0" fontId="5" fillId="0" borderId="0" xfId="0" applyFont="1" applyAlignment="1"/>
    <xf numFmtId="0" fontId="2" fillId="0" borderId="0" xfId="0" applyFont="1" applyBorder="1" applyAlignment="1">
      <alignment horizontal="center" vertical="top" wrapText="1"/>
    </xf>
    <xf numFmtId="0" fontId="1" fillId="0" borderId="4" xfId="0" applyFont="1" applyBorder="1"/>
    <xf numFmtId="0" fontId="1" fillId="2" borderId="0" xfId="0" applyFont="1" applyFill="1"/>
    <xf numFmtId="0" fontId="3" fillId="0" borderId="0" xfId="0" applyFont="1" applyAlignment="1"/>
    <xf numFmtId="2" fontId="1" fillId="0" borderId="0" xfId="0" applyNumberFormat="1" applyFont="1"/>
    <xf numFmtId="2" fontId="1" fillId="0" borderId="1" xfId="0" applyNumberFormat="1" applyFont="1" applyBorder="1"/>
    <xf numFmtId="14" fontId="1" fillId="0" borderId="0" xfId="0" applyNumberFormat="1" applyFont="1"/>
    <xf numFmtId="0" fontId="1" fillId="0" borderId="0" xfId="0" applyFont="1" applyAlignment="1">
      <alignment horizontal="center"/>
    </xf>
    <xf numFmtId="0" fontId="2" fillId="0" borderId="0" xfId="0" applyFont="1" applyBorder="1" applyAlignment="1">
      <alignment horizontal="center" vertical="top" wrapText="1"/>
    </xf>
    <xf numFmtId="0" fontId="1" fillId="0" borderId="0" xfId="0" applyFont="1" applyAlignment="1">
      <alignment horizontal="left"/>
    </xf>
    <xf numFmtId="0" fontId="2" fillId="0" borderId="0" xfId="0" applyFont="1" applyBorder="1" applyAlignment="1">
      <alignment horizontal="left" vertical="top" wrapText="1"/>
    </xf>
    <xf numFmtId="0" fontId="5" fillId="0" borderId="0" xfId="0" applyFont="1" applyAlignment="1">
      <alignment horizontal="left"/>
    </xf>
    <xf numFmtId="0" fontId="5" fillId="0" borderId="0" xfId="0" applyFont="1" applyAlignment="1">
      <alignment horizontal="center"/>
    </xf>
    <xf numFmtId="4" fontId="5" fillId="0" borderId="0" xfId="0" applyNumberFormat="1" applyFont="1"/>
    <xf numFmtId="0" fontId="2" fillId="0" borderId="0" xfId="0" applyFont="1" applyBorder="1" applyAlignment="1">
      <alignment horizontal="center" vertical="top" wrapText="1"/>
    </xf>
    <xf numFmtId="0" fontId="2" fillId="0" borderId="0" xfId="0" applyFont="1" applyBorder="1" applyAlignment="1">
      <alignment horizontal="center" vertical="top" wrapText="1"/>
    </xf>
    <xf numFmtId="4" fontId="1" fillId="0" borderId="1" xfId="0" applyNumberFormat="1" applyFont="1" applyBorder="1" applyAlignment="1">
      <alignment horizontal="center"/>
    </xf>
    <xf numFmtId="2" fontId="1" fillId="0" borderId="1" xfId="0" applyNumberFormat="1" applyFont="1" applyBorder="1" applyAlignment="1">
      <alignment horizontal="center"/>
    </xf>
    <xf numFmtId="164" fontId="1" fillId="0" borderId="1" xfId="0" applyNumberFormat="1" applyFont="1" applyBorder="1" applyAlignment="1">
      <alignment horizontal="center"/>
    </xf>
    <xf numFmtId="165" fontId="1" fillId="0" borderId="1" xfId="0" applyNumberFormat="1" applyFont="1" applyBorder="1" applyAlignment="1">
      <alignment horizontal="center"/>
    </xf>
    <xf numFmtId="4" fontId="1" fillId="0" borderId="1" xfId="0" applyNumberFormat="1" applyFont="1" applyBorder="1"/>
    <xf numFmtId="0" fontId="14" fillId="0" borderId="0" xfId="0" applyFont="1"/>
    <xf numFmtId="0" fontId="14" fillId="0" borderId="0" xfId="0" applyFont="1" applyBorder="1" applyAlignment="1">
      <alignment horizontal="center" vertical="top" wrapText="1"/>
    </xf>
    <xf numFmtId="0" fontId="15" fillId="0" borderId="0" xfId="0" applyFont="1" applyAlignment="1"/>
    <xf numFmtId="4" fontId="15" fillId="0" borderId="0" xfId="0" applyNumberFormat="1" applyFont="1"/>
    <xf numFmtId="0" fontId="2" fillId="0" borderId="0" xfId="0" applyFont="1" applyBorder="1" applyAlignment="1">
      <alignment horizontal="center" vertical="top" wrapText="1"/>
    </xf>
    <xf numFmtId="0" fontId="1" fillId="0" borderId="0" xfId="0" applyFont="1" applyAlignment="1">
      <alignment horizontal="left"/>
    </xf>
    <xf numFmtId="0" fontId="8" fillId="0" borderId="1" xfId="0" applyFont="1" applyFill="1" applyBorder="1" applyAlignment="1">
      <alignment vertical="center" wrapText="1"/>
    </xf>
    <xf numFmtId="0" fontId="1" fillId="0" borderId="0" xfId="0" applyFont="1" applyFill="1"/>
    <xf numFmtId="0" fontId="17" fillId="0" borderId="0" xfId="0" applyFont="1" applyAlignment="1">
      <alignment horizontal="left"/>
    </xf>
    <xf numFmtId="0" fontId="17" fillId="0" borderId="0" xfId="0" applyFont="1"/>
    <xf numFmtId="0" fontId="2" fillId="0" borderId="0" xfId="0" applyFont="1" applyBorder="1" applyAlignment="1">
      <alignment horizontal="center" vertical="center" wrapText="1"/>
    </xf>
    <xf numFmtId="4" fontId="13" fillId="0" borderId="1" xfId="0" applyNumberFormat="1" applyFont="1" applyBorder="1"/>
    <xf numFmtId="0" fontId="2" fillId="0" borderId="0" xfId="0" applyFont="1" applyBorder="1" applyAlignment="1">
      <alignment horizontal="center" vertical="top" wrapText="1"/>
    </xf>
    <xf numFmtId="0" fontId="1"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0" xfId="0" applyFont="1" applyBorder="1" applyAlignment="1">
      <alignment horizontal="center" vertical="center" wrapText="1"/>
    </xf>
    <xf numFmtId="4" fontId="1" fillId="0" borderId="0" xfId="0" applyNumberFormat="1" applyFont="1"/>
    <xf numFmtId="4" fontId="14" fillId="0" borderId="0" xfId="0" applyNumberFormat="1" applyFont="1"/>
    <xf numFmtId="0" fontId="11" fillId="0" borderId="12" xfId="0" applyFont="1" applyFill="1" applyBorder="1" applyAlignment="1">
      <alignment horizontal="center" wrapText="1"/>
    </xf>
    <xf numFmtId="0" fontId="2" fillId="0" borderId="0" xfId="0" applyFont="1" applyBorder="1" applyAlignment="1">
      <alignment horizontal="center" vertical="top" wrapText="1"/>
    </xf>
    <xf numFmtId="4" fontId="18" fillId="0" borderId="14" xfId="0" applyNumberFormat="1" applyFont="1" applyBorder="1" applyAlignment="1">
      <alignment horizontal="center" vertical="center"/>
    </xf>
    <xf numFmtId="0" fontId="11" fillId="0" borderId="2" xfId="0" applyFont="1" applyBorder="1" applyAlignment="1">
      <alignment horizontal="center" vertical="center" wrapText="1"/>
    </xf>
    <xf numFmtId="0" fontId="2"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1" fillId="0" borderId="0" xfId="0" applyFont="1" applyBorder="1" applyAlignment="1">
      <alignment horizontal="center" vertical="center" wrapText="1"/>
    </xf>
    <xf numFmtId="4" fontId="2" fillId="0" borderId="0" xfId="0" applyNumberFormat="1" applyFont="1" applyBorder="1" applyAlignment="1">
      <alignment horizontal="center" vertical="center"/>
    </xf>
    <xf numFmtId="4" fontId="18" fillId="0" borderId="0" xfId="0" applyNumberFormat="1" applyFont="1" applyBorder="1" applyAlignment="1">
      <alignment horizontal="center" vertical="center"/>
    </xf>
    <xf numFmtId="0" fontId="1"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0" xfId="0" applyFont="1" applyFill="1" applyBorder="1" applyAlignment="1">
      <alignment horizontal="left" vertical="top" wrapText="1"/>
    </xf>
    <xf numFmtId="4" fontId="2" fillId="0" borderId="1" xfId="0" applyNumberFormat="1" applyFont="1" applyBorder="1" applyAlignment="1">
      <alignment horizontal="center" vertical="center"/>
    </xf>
    <xf numFmtId="0" fontId="11" fillId="0" borderId="12" xfId="0" applyFont="1" applyFill="1" applyBorder="1" applyAlignment="1">
      <alignment horizontal="center" vertical="center" wrapText="1"/>
    </xf>
    <xf numFmtId="0" fontId="12" fillId="0" borderId="1" xfId="0" applyFont="1" applyFill="1" applyBorder="1" applyAlignment="1">
      <alignment horizontal="center"/>
    </xf>
    <xf numFmtId="4" fontId="11" fillId="0" borderId="1" xfId="0" applyNumberFormat="1" applyFont="1" applyFill="1" applyBorder="1" applyAlignment="1">
      <alignment horizontal="center"/>
    </xf>
    <xf numFmtId="0" fontId="1" fillId="0" borderId="0" xfId="0" applyFont="1" applyBorder="1"/>
    <xf numFmtId="0" fontId="16" fillId="0" borderId="0" xfId="0" applyFont="1"/>
    <xf numFmtId="0" fontId="8" fillId="0" borderId="14" xfId="0"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wrapText="1"/>
    </xf>
    <xf numFmtId="4" fontId="1" fillId="0" borderId="0" xfId="0" applyNumberFormat="1" applyFont="1" applyBorder="1"/>
    <xf numFmtId="2" fontId="1" fillId="0" borderId="0" xfId="0" applyNumberFormat="1" applyFont="1" applyBorder="1"/>
    <xf numFmtId="2" fontId="6" fillId="0" borderId="0" xfId="0" applyNumberFormat="1" applyFont="1" applyBorder="1" applyAlignment="1">
      <alignment horizontal="center"/>
    </xf>
    <xf numFmtId="2" fontId="9" fillId="0" borderId="0" xfId="0" applyNumberFormat="1" applyFont="1"/>
    <xf numFmtId="166" fontId="1" fillId="0" borderId="0" xfId="0" applyNumberFormat="1" applyFont="1" applyFill="1"/>
    <xf numFmtId="2" fontId="1" fillId="0" borderId="0" xfId="0" applyNumberFormat="1" applyFont="1" applyFill="1"/>
    <xf numFmtId="2" fontId="19" fillId="0" borderId="1" xfId="0" applyNumberFormat="1" applyFont="1" applyBorder="1" applyAlignment="1">
      <alignment horizontal="center"/>
    </xf>
    <xf numFmtId="4" fontId="19" fillId="0" borderId="0" xfId="0" applyNumberFormat="1" applyFont="1" applyFill="1" applyBorder="1"/>
    <xf numFmtId="0" fontId="1" fillId="0" borderId="0" xfId="0" applyFont="1" applyFill="1" applyAlignment="1">
      <alignment horizontal="left"/>
    </xf>
    <xf numFmtId="0" fontId="16" fillId="0" borderId="0" xfId="0" applyFont="1" applyFill="1"/>
    <xf numFmtId="0" fontId="21" fillId="0" borderId="0" xfId="0" applyFont="1" applyFill="1"/>
    <xf numFmtId="0" fontId="14" fillId="0" borderId="0" xfId="0" applyFont="1" applyFill="1"/>
    <xf numFmtId="0" fontId="2" fillId="0" borderId="0" xfId="0" applyFont="1" applyFill="1" applyBorder="1" applyAlignment="1">
      <alignment horizontal="center" vertical="top" wrapText="1"/>
    </xf>
    <xf numFmtId="0" fontId="18" fillId="0" borderId="0" xfId="0" applyFont="1" applyFill="1" applyBorder="1" applyAlignment="1">
      <alignment horizontal="center" vertical="top" wrapText="1"/>
    </xf>
    <xf numFmtId="0" fontId="14" fillId="0" borderId="0" xfId="0" applyFont="1" applyFill="1" applyBorder="1" applyAlignment="1">
      <alignment horizontal="center" vertical="top" wrapText="1"/>
    </xf>
    <xf numFmtId="0" fontId="11" fillId="0" borderId="7" xfId="0" applyFont="1" applyFill="1" applyBorder="1" applyAlignment="1">
      <alignment horizontal="center" vertical="center" wrapText="1"/>
    </xf>
    <xf numFmtId="0" fontId="11" fillId="0" borderId="7" xfId="0" applyFont="1" applyFill="1" applyBorder="1" applyAlignment="1">
      <alignment horizontal="center" wrapText="1"/>
    </xf>
    <xf numFmtId="0" fontId="12" fillId="0" borderId="2" xfId="0" applyFont="1" applyFill="1" applyBorder="1" applyAlignment="1">
      <alignment horizontal="center"/>
    </xf>
    <xf numFmtId="4" fontId="11" fillId="0" borderId="2" xfId="0" applyNumberFormat="1" applyFont="1" applyFill="1" applyBorder="1" applyAlignment="1">
      <alignment horizontal="center"/>
    </xf>
    <xf numFmtId="0" fontId="11" fillId="0" borderId="9" xfId="0" applyFont="1" applyFill="1" applyBorder="1" applyAlignment="1">
      <alignment horizontal="center" vertical="center" wrapText="1"/>
    </xf>
    <xf numFmtId="0" fontId="11" fillId="0" borderId="9" xfId="0" applyFont="1" applyFill="1" applyBorder="1" applyAlignment="1">
      <alignment horizontal="center" wrapText="1"/>
    </xf>
    <xf numFmtId="0" fontId="12" fillId="0" borderId="14" xfId="0" applyFont="1" applyFill="1" applyBorder="1" applyAlignment="1">
      <alignment horizontal="center"/>
    </xf>
    <xf numFmtId="4" fontId="11" fillId="0" borderId="14" xfId="0" applyNumberFormat="1" applyFont="1" applyFill="1" applyBorder="1" applyAlignment="1">
      <alignment horizontal="center"/>
    </xf>
    <xf numFmtId="0" fontId="1" fillId="0" borderId="10" xfId="0" applyFont="1" applyFill="1" applyBorder="1"/>
    <xf numFmtId="0" fontId="1" fillId="0" borderId="1" xfId="0" applyFont="1" applyFill="1" applyBorder="1"/>
    <xf numFmtId="0" fontId="1" fillId="0" borderId="12" xfId="0" applyFont="1" applyFill="1" applyBorder="1"/>
    <xf numFmtId="0" fontId="16" fillId="0" borderId="1" xfId="0" applyFont="1" applyFill="1" applyBorder="1"/>
    <xf numFmtId="0" fontId="1" fillId="0" borderId="0" xfId="0" applyFont="1" applyFill="1" applyBorder="1"/>
    <xf numFmtId="0" fontId="16" fillId="0" borderId="0" xfId="0" applyFont="1" applyFill="1" applyBorder="1"/>
    <xf numFmtId="4" fontId="16" fillId="0" borderId="0" xfId="0" applyNumberFormat="1" applyFont="1" applyFill="1" applyBorder="1" applyAlignment="1">
      <alignment horizontal="center" vertical="center"/>
    </xf>
    <xf numFmtId="4" fontId="13" fillId="0" borderId="0" xfId="0" applyNumberFormat="1" applyFont="1" applyFill="1" applyBorder="1" applyAlignment="1">
      <alignment horizontal="center" vertical="center"/>
    </xf>
    <xf numFmtId="0" fontId="15" fillId="0" borderId="0" xfId="0" applyFont="1" applyFill="1" applyAlignment="1"/>
    <xf numFmtId="0" fontId="3" fillId="0" borderId="0" xfId="0" applyFont="1" applyFill="1" applyAlignment="1"/>
    <xf numFmtId="0" fontId="5" fillId="0" borderId="0" xfId="0" applyFont="1" applyFill="1" applyAlignment="1"/>
    <xf numFmtId="0" fontId="23" fillId="0" borderId="0" xfId="0" applyFont="1" applyFill="1" applyAlignment="1"/>
    <xf numFmtId="0" fontId="10" fillId="0" borderId="0" xfId="0" applyFont="1" applyFill="1" applyBorder="1"/>
    <xf numFmtId="14" fontId="16" fillId="0" borderId="0" xfId="0" applyNumberFormat="1" applyFont="1" applyFill="1"/>
    <xf numFmtId="0" fontId="1" fillId="0" borderId="0" xfId="0" applyFont="1" applyFill="1" applyAlignment="1">
      <alignment horizontal="center"/>
    </xf>
    <xf numFmtId="0" fontId="17" fillId="0" borderId="0" xfId="0" applyFont="1" applyFill="1" applyAlignment="1">
      <alignment horizontal="left"/>
    </xf>
    <xf numFmtId="4" fontId="15" fillId="0" borderId="0" xfId="0" applyNumberFormat="1" applyFont="1" applyFill="1"/>
    <xf numFmtId="0" fontId="11" fillId="0" borderId="1" xfId="0" applyFont="1" applyFill="1" applyBorder="1" applyAlignment="1">
      <alignment vertical="center" wrapText="1"/>
    </xf>
    <xf numFmtId="0" fontId="11" fillId="0" borderId="2" xfId="0" applyFont="1" applyFill="1" applyBorder="1" applyAlignment="1">
      <alignment vertical="center" wrapText="1"/>
    </xf>
    <xf numFmtId="0" fontId="11" fillId="0" borderId="14" xfId="0" applyFont="1" applyFill="1" applyBorder="1" applyAlignment="1">
      <alignment vertical="center" wrapText="1"/>
    </xf>
    <xf numFmtId="0" fontId="1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wrapText="1"/>
    </xf>
    <xf numFmtId="0" fontId="13" fillId="0" borderId="1" xfId="0" applyFont="1" applyBorder="1" applyAlignment="1">
      <alignment horizontal="center" vertical="center" wrapText="1"/>
    </xf>
    <xf numFmtId="0" fontId="2" fillId="0" borderId="0" xfId="0" applyFont="1" applyFill="1" applyBorder="1" applyAlignment="1">
      <alignment horizontal="center" vertical="top" wrapText="1"/>
    </xf>
    <xf numFmtId="0" fontId="25" fillId="0" borderId="0" xfId="0" applyFont="1" applyFill="1" applyAlignment="1"/>
    <xf numFmtId="0" fontId="23" fillId="0" borderId="0" xfId="0" applyFont="1" applyFill="1" applyAlignment="1">
      <alignment horizontal="left"/>
    </xf>
    <xf numFmtId="0" fontId="21" fillId="0" borderId="0" xfId="0" applyFont="1" applyFill="1" applyAlignment="1">
      <alignment horizontal="left"/>
    </xf>
    <xf numFmtId="0" fontId="28" fillId="0" borderId="1" xfId="0" applyFont="1" applyFill="1" applyBorder="1" applyAlignment="1">
      <alignment horizontal="center" wrapText="1"/>
    </xf>
    <xf numFmtId="4" fontId="1" fillId="0" borderId="0" xfId="0" applyNumberFormat="1" applyFont="1" applyFill="1"/>
    <xf numFmtId="0" fontId="18" fillId="0" borderId="0" xfId="0" applyFont="1" applyBorder="1" applyAlignment="1">
      <alignment horizontal="center" vertical="top" wrapText="1"/>
    </xf>
    <xf numFmtId="0" fontId="16" fillId="0" borderId="1" xfId="0" applyFont="1" applyBorder="1"/>
    <xf numFmtId="0" fontId="16" fillId="0" borderId="0" xfId="0" applyFont="1" applyBorder="1"/>
    <xf numFmtId="0" fontId="28" fillId="0" borderId="1" xfId="0" applyFont="1" applyFill="1" applyBorder="1" applyAlignment="1">
      <alignment horizontal="center"/>
    </xf>
    <xf numFmtId="0" fontId="28" fillId="0" borderId="10" xfId="0" applyFont="1" applyFill="1" applyBorder="1" applyAlignment="1">
      <alignment horizontal="center" wrapText="1"/>
    </xf>
    <xf numFmtId="0" fontId="28" fillId="0" borderId="2" xfId="0" applyFont="1" applyFill="1" applyBorder="1" applyAlignment="1">
      <alignment horizontal="center"/>
    </xf>
    <xf numFmtId="0" fontId="27" fillId="0" borderId="0" xfId="0" applyFont="1" applyAlignment="1"/>
    <xf numFmtId="0" fontId="11" fillId="2" borderId="1" xfId="0" applyFont="1" applyFill="1" applyBorder="1" applyAlignment="1">
      <alignment vertical="center" wrapText="1"/>
    </xf>
    <xf numFmtId="0" fontId="27" fillId="0" borderId="0" xfId="0" applyFont="1" applyFill="1" applyAlignment="1"/>
    <xf numFmtId="0" fontId="11" fillId="0" borderId="1" xfId="0" applyFont="1" applyBorder="1" applyAlignment="1">
      <alignment horizontal="center" vertical="center" wrapText="1"/>
    </xf>
    <xf numFmtId="0" fontId="13" fillId="0" borderId="1" xfId="0" applyFont="1" applyFill="1" applyBorder="1" applyAlignment="1">
      <alignment horizontal="center" wrapText="1"/>
    </xf>
    <xf numFmtId="4" fontId="2"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26" fillId="0" borderId="10" xfId="0" applyFont="1" applyFill="1" applyBorder="1" applyAlignment="1">
      <alignment horizontal="center" wrapText="1"/>
    </xf>
    <xf numFmtId="0" fontId="11" fillId="0" borderId="0" xfId="0" applyFont="1"/>
    <xf numFmtId="0" fontId="8" fillId="0" borderId="0" xfId="0" applyFont="1"/>
    <xf numFmtId="4" fontId="9" fillId="0" borderId="1" xfId="0" applyNumberFormat="1" applyFont="1" applyFill="1" applyBorder="1"/>
    <xf numFmtId="4" fontId="20" fillId="0" borderId="1" xfId="0" applyNumberFormat="1" applyFont="1" applyFill="1" applyBorder="1"/>
    <xf numFmtId="0" fontId="28" fillId="3" borderId="1" xfId="0" applyFont="1" applyFill="1" applyBorder="1" applyAlignment="1">
      <alignment horizontal="center"/>
    </xf>
    <xf numFmtId="4" fontId="18" fillId="0" borderId="1" xfId="0" applyNumberFormat="1" applyFont="1" applyBorder="1" applyAlignment="1">
      <alignment horizontal="center" vertical="center"/>
    </xf>
    <xf numFmtId="4" fontId="1" fillId="0" borderId="1" xfId="0" applyNumberFormat="1" applyFont="1" applyFill="1" applyBorder="1" applyAlignment="1">
      <alignment horizontal="center"/>
    </xf>
    <xf numFmtId="2" fontId="1" fillId="0" borderId="1" xfId="0" applyNumberFormat="1" applyFont="1" applyFill="1" applyBorder="1" applyAlignment="1">
      <alignment horizontal="center"/>
    </xf>
    <xf numFmtId="164" fontId="1" fillId="0" borderId="1" xfId="0" applyNumberFormat="1" applyFont="1" applyFill="1" applyBorder="1" applyAlignment="1">
      <alignment horizontal="center"/>
    </xf>
    <xf numFmtId="165" fontId="1" fillId="0" borderId="1" xfId="0" applyNumberFormat="1" applyFont="1" applyFill="1" applyBorder="1" applyAlignment="1">
      <alignment horizontal="center"/>
    </xf>
    <xf numFmtId="0" fontId="1" fillId="0" borderId="1" xfId="0" applyFont="1" applyBorder="1" applyAlignment="1">
      <alignment horizontal="center" vertical="center" wrapText="1"/>
    </xf>
    <xf numFmtId="0" fontId="8" fillId="0" borderId="1" xfId="0" applyFont="1" applyBorder="1" applyAlignment="1">
      <alignment horizontal="center" wrapText="1"/>
    </xf>
    <xf numFmtId="0" fontId="10"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4" fillId="0" borderId="0" xfId="0" applyFont="1" applyFill="1" applyAlignment="1">
      <alignment horizontal="center"/>
    </xf>
    <xf numFmtId="0" fontId="8" fillId="0" borderId="1" xfId="0" applyFont="1" applyBorder="1" applyAlignment="1">
      <alignment horizontal="center" vertical="center" wrapText="1"/>
    </xf>
    <xf numFmtId="0" fontId="26" fillId="0" borderId="10" xfId="0" applyFont="1" applyFill="1" applyBorder="1" applyAlignment="1">
      <alignment horizontal="left" wrapText="1"/>
    </xf>
    <xf numFmtId="0" fontId="26" fillId="0" borderId="11" xfId="0" applyFont="1" applyFill="1" applyBorder="1" applyAlignment="1">
      <alignment horizontal="left" wrapText="1"/>
    </xf>
    <xf numFmtId="0" fontId="26" fillId="0" borderId="12" xfId="0" applyFont="1" applyFill="1" applyBorder="1" applyAlignment="1">
      <alignment horizontal="left" wrapText="1"/>
    </xf>
    <xf numFmtId="0" fontId="1" fillId="0" borderId="0" xfId="0" applyFont="1" applyAlignment="1">
      <alignment horizontal="left"/>
    </xf>
    <xf numFmtId="0" fontId="3" fillId="0" borderId="0" xfId="0" applyFont="1" applyAlignment="1">
      <alignment horizontal="center"/>
    </xf>
    <xf numFmtId="0" fontId="2" fillId="0" borderId="0" xfId="0" applyFont="1" applyBorder="1" applyAlignment="1">
      <alignment horizontal="center" vertical="top" wrapText="1"/>
    </xf>
    <xf numFmtId="0" fontId="1" fillId="0" borderId="13" xfId="0" applyFont="1" applyBorder="1" applyAlignment="1">
      <alignment horizontal="center" wrapText="1"/>
    </xf>
    <xf numFmtId="0" fontId="1" fillId="0" borderId="13" xfId="0" applyFont="1" applyBorder="1" applyAlignment="1">
      <alignment horizontal="center"/>
    </xf>
    <xf numFmtId="0" fontId="11" fillId="0" borderId="1" xfId="0" applyFont="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xf>
    <xf numFmtId="0" fontId="1" fillId="0" borderId="0" xfId="0" applyFont="1" applyFill="1" applyBorder="1" applyAlignment="1">
      <alignment horizontal="center" wrapText="1"/>
    </xf>
    <xf numFmtId="0" fontId="2" fillId="0" borderId="0" xfId="0" applyFont="1" applyFill="1" applyBorder="1" applyAlignment="1">
      <alignment horizontal="center" vertical="top" wrapText="1"/>
    </xf>
    <xf numFmtId="0" fontId="1" fillId="0" borderId="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0" borderId="0" xfId="0" applyFont="1" applyFill="1" applyAlignment="1">
      <alignment horizontal="center"/>
    </xf>
    <xf numFmtId="0" fontId="10"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3" fillId="0" borderId="1" xfId="0" applyFont="1" applyFill="1" applyBorder="1" applyAlignment="1">
      <alignment horizontal="center" wrapText="1"/>
    </xf>
    <xf numFmtId="0" fontId="13" fillId="0" borderId="1" xfId="0" applyFont="1" applyFill="1" applyBorder="1" applyAlignment="1">
      <alignment horizontal="center" vertical="center" wrapText="1"/>
    </xf>
    <xf numFmtId="4" fontId="16" fillId="0" borderId="2" xfId="0" applyNumberFormat="1" applyFont="1" applyFill="1" applyBorder="1" applyAlignment="1">
      <alignment horizontal="center" vertical="center"/>
    </xf>
    <xf numFmtId="4" fontId="16" fillId="0" borderId="3" xfId="0" applyNumberFormat="1" applyFont="1" applyFill="1" applyBorder="1" applyAlignment="1">
      <alignment horizontal="center" vertical="center"/>
    </xf>
    <xf numFmtId="4" fontId="16" fillId="0" borderId="16" xfId="0" applyNumberFormat="1" applyFont="1" applyFill="1" applyBorder="1" applyAlignment="1">
      <alignment horizontal="center" vertical="center"/>
    </xf>
    <xf numFmtId="4" fontId="16" fillId="0" borderId="14" xfId="0" applyNumberFormat="1" applyFont="1" applyFill="1" applyBorder="1" applyAlignment="1">
      <alignment horizontal="center" vertical="center"/>
    </xf>
    <xf numFmtId="4" fontId="13" fillId="0" borderId="2" xfId="0" applyNumberFormat="1" applyFont="1" applyFill="1" applyBorder="1" applyAlignment="1">
      <alignment horizontal="center" vertical="center"/>
    </xf>
    <xf numFmtId="4" fontId="13" fillId="0" borderId="3" xfId="0" applyNumberFormat="1" applyFont="1" applyFill="1" applyBorder="1" applyAlignment="1">
      <alignment horizontal="center" vertical="center"/>
    </xf>
    <xf numFmtId="4" fontId="13" fillId="0" borderId="14"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2" fillId="0" borderId="0" xfId="0" applyFont="1" applyFill="1" applyBorder="1" applyAlignment="1">
      <alignment horizontal="left" vertical="top" wrapText="1"/>
    </xf>
    <xf numFmtId="14" fontId="16" fillId="0" borderId="0" xfId="0" applyNumberFormat="1" applyFont="1" applyAlignment="1">
      <alignment horizontal="left"/>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8" fillId="0" borderId="10" xfId="0" applyFont="1" applyFill="1" applyBorder="1" applyAlignment="1">
      <alignment horizontal="left" wrapText="1"/>
    </xf>
    <xf numFmtId="0" fontId="28" fillId="0" borderId="11" xfId="0" applyFont="1" applyFill="1" applyBorder="1" applyAlignment="1">
      <alignment horizontal="left" wrapText="1"/>
    </xf>
    <xf numFmtId="0" fontId="28" fillId="0" borderId="12" xfId="0" applyFont="1" applyFill="1" applyBorder="1" applyAlignment="1">
      <alignment horizontal="left" wrapText="1"/>
    </xf>
    <xf numFmtId="0" fontId="13" fillId="0" borderId="10" xfId="0" applyFont="1" applyFill="1" applyBorder="1" applyAlignment="1">
      <alignment horizontal="left" wrapText="1"/>
    </xf>
    <xf numFmtId="0" fontId="13" fillId="0" borderId="11" xfId="0" applyFont="1" applyFill="1" applyBorder="1" applyAlignment="1">
      <alignment horizontal="left" wrapText="1"/>
    </xf>
    <xf numFmtId="0" fontId="13" fillId="0" borderId="12" xfId="0" applyFont="1" applyFill="1" applyBorder="1" applyAlignment="1">
      <alignment horizontal="left" wrapText="1"/>
    </xf>
    <xf numFmtId="2" fontId="11" fillId="0" borderId="0" xfId="0" applyNumberFormat="1" applyFont="1" applyFill="1" applyAlignment="1">
      <alignment horizontal="center"/>
    </xf>
    <xf numFmtId="0" fontId="1" fillId="0" borderId="0" xfId="0" applyFont="1" applyAlignment="1">
      <alignment horizontal="center"/>
    </xf>
    <xf numFmtId="0" fontId="2" fillId="0" borderId="1" xfId="0" applyFont="1" applyBorder="1" applyAlignment="1">
      <alignment horizontal="center" vertical="center" wrapText="1"/>
    </xf>
    <xf numFmtId="4" fontId="18" fillId="0" borderId="2" xfId="0" applyNumberFormat="1" applyFont="1" applyBorder="1" applyAlignment="1">
      <alignment horizontal="center" vertical="center"/>
    </xf>
    <xf numFmtId="4" fontId="18" fillId="0" borderId="3" xfId="0" applyNumberFormat="1" applyFont="1" applyBorder="1" applyAlignment="1">
      <alignment horizontal="center" vertical="center"/>
    </xf>
    <xf numFmtId="4" fontId="18" fillId="0" borderId="14" xfId="0" applyNumberFormat="1" applyFont="1" applyBorder="1" applyAlignment="1">
      <alignment horizontal="center" vertical="center"/>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8" xfId="0" applyFont="1" applyBorder="1" applyAlignment="1">
      <alignment horizontal="center" vertical="center" wrapText="1"/>
    </xf>
    <xf numFmtId="4" fontId="2" fillId="0" borderId="1" xfId="0" applyNumberFormat="1" applyFont="1" applyBorder="1" applyAlignment="1">
      <alignment horizontal="center" vertical="center"/>
    </xf>
    <xf numFmtId="4" fontId="2" fillId="0" borderId="2" xfId="0" applyNumberFormat="1" applyFont="1" applyBorder="1" applyAlignment="1">
      <alignment horizontal="center" vertical="center"/>
    </xf>
    <xf numFmtId="4" fontId="2" fillId="0" borderId="3" xfId="0" applyNumberFormat="1" applyFont="1" applyBorder="1" applyAlignment="1">
      <alignment horizontal="center" vertical="center"/>
    </xf>
    <xf numFmtId="4" fontId="2" fillId="0" borderId="14"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8" xfId="0" applyFont="1" applyBorder="1" applyAlignment="1">
      <alignment horizontal="center" vertical="center" wrapText="1"/>
    </xf>
    <xf numFmtId="0" fontId="18"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4" fillId="0" borderId="0" xfId="0" applyFont="1" applyFill="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3" fillId="0" borderId="0" xfId="0" applyFont="1" applyAlignment="1">
      <alignment horizontal="center" vertical="center"/>
    </xf>
    <xf numFmtId="0" fontId="1" fillId="0" borderId="13" xfId="0" applyFont="1" applyBorder="1" applyAlignment="1">
      <alignment horizontal="center" vertical="center" wrapText="1"/>
    </xf>
    <xf numFmtId="0" fontId="1" fillId="0" borderId="13" xfId="0" applyFont="1" applyBorder="1" applyAlignment="1">
      <alignment horizontal="center" vertical="center"/>
    </xf>
    <xf numFmtId="0" fontId="2" fillId="0" borderId="0"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17</xdr:col>
      <xdr:colOff>66967</xdr:colOff>
      <xdr:row>12</xdr:row>
      <xdr:rowOff>562708</xdr:rowOff>
    </xdr:from>
    <xdr:to>
      <xdr:col>17</xdr:col>
      <xdr:colOff>1162782</xdr:colOff>
      <xdr:row>13</xdr:row>
      <xdr:rowOff>446208</xdr:rowOff>
    </xdr:to>
    <xdr:pic>
      <xdr:nvPicPr>
        <xdr:cNvPr id="11" name="Рисунок 4"/>
        <xdr:cNvPicPr>
          <a:picLocks noChangeAspect="1" noChangeArrowheads="1"/>
        </xdr:cNvPicPr>
      </xdr:nvPicPr>
      <xdr:blipFill>
        <a:blip xmlns:r="http://schemas.openxmlformats.org/officeDocument/2006/relationships" r:embed="rId1"/>
        <a:srcRect/>
        <a:stretch>
          <a:fillRect/>
        </a:stretch>
      </xdr:blipFill>
      <xdr:spPr bwMode="auto">
        <a:xfrm>
          <a:off x="11914602" y="2856035"/>
          <a:ext cx="1095815" cy="447673"/>
        </a:xfrm>
        <a:prstGeom prst="rect">
          <a:avLst/>
        </a:prstGeom>
        <a:noFill/>
        <a:ln w="9525">
          <a:noFill/>
          <a:miter lim="800000"/>
          <a:headEnd/>
          <a:tailEnd/>
        </a:ln>
      </xdr:spPr>
    </xdr:pic>
    <xdr:clientData/>
  </xdr:twoCellAnchor>
  <xdr:twoCellAnchor>
    <xdr:from>
      <xdr:col>15</xdr:col>
      <xdr:colOff>38100</xdr:colOff>
      <xdr:row>13</xdr:row>
      <xdr:rowOff>156050</xdr:rowOff>
    </xdr:from>
    <xdr:to>
      <xdr:col>16</xdr:col>
      <xdr:colOff>0</xdr:colOff>
      <xdr:row>13</xdr:row>
      <xdr:rowOff>725200</xdr:rowOff>
    </xdr:to>
    <xdr:pic>
      <xdr:nvPicPr>
        <xdr:cNvPr id="12" name="Рисунок 2"/>
        <xdr:cNvPicPr>
          <a:picLocks noChangeAspect="1" noChangeArrowheads="1"/>
        </xdr:cNvPicPr>
      </xdr:nvPicPr>
      <xdr:blipFill>
        <a:blip xmlns:r="http://schemas.openxmlformats.org/officeDocument/2006/relationships" r:embed="rId2"/>
        <a:srcRect/>
        <a:stretch>
          <a:fillRect/>
        </a:stretch>
      </xdr:blipFill>
      <xdr:spPr bwMode="auto">
        <a:xfrm>
          <a:off x="5819775" y="4051775"/>
          <a:ext cx="990600" cy="569150"/>
        </a:xfrm>
        <a:prstGeom prst="rect">
          <a:avLst/>
        </a:prstGeom>
        <a:noFill/>
        <a:ln w="9525">
          <a:noFill/>
          <a:miter lim="800000"/>
          <a:headEnd/>
          <a:tailEnd/>
        </a:ln>
      </xdr:spPr>
    </xdr:pic>
    <xdr:clientData/>
  </xdr:twoCellAnchor>
  <xdr:twoCellAnchor>
    <xdr:from>
      <xdr:col>16</xdr:col>
      <xdr:colOff>73141</xdr:colOff>
      <xdr:row>13</xdr:row>
      <xdr:rowOff>16544</xdr:rowOff>
    </xdr:from>
    <xdr:to>
      <xdr:col>16</xdr:col>
      <xdr:colOff>1156599</xdr:colOff>
      <xdr:row>13</xdr:row>
      <xdr:rowOff>400446</xdr:rowOff>
    </xdr:to>
    <xdr:pic>
      <xdr:nvPicPr>
        <xdr:cNvPr id="13" name="Рисунок 1"/>
        <xdr:cNvPicPr>
          <a:picLocks noChangeAspect="1" noChangeArrowheads="1"/>
        </xdr:cNvPicPr>
      </xdr:nvPicPr>
      <xdr:blipFill>
        <a:blip xmlns:r="http://schemas.openxmlformats.org/officeDocument/2006/relationships" r:embed="rId3"/>
        <a:srcRect/>
        <a:stretch>
          <a:fillRect/>
        </a:stretch>
      </xdr:blipFill>
      <xdr:spPr bwMode="auto">
        <a:xfrm>
          <a:off x="6883516" y="3912269"/>
          <a:ext cx="959633" cy="38390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37659</xdr:colOff>
      <xdr:row>13</xdr:row>
      <xdr:rowOff>247650</xdr:rowOff>
    </xdr:from>
    <xdr:to>
      <xdr:col>21</xdr:col>
      <xdr:colOff>1133474</xdr:colOff>
      <xdr:row>13</xdr:row>
      <xdr:rowOff>695323</xdr:rowOff>
    </xdr:to>
    <xdr:pic>
      <xdr:nvPicPr>
        <xdr:cNvPr id="2" name="Рисунок 4"/>
        <xdr:cNvPicPr>
          <a:picLocks noChangeAspect="1" noChangeArrowheads="1"/>
        </xdr:cNvPicPr>
      </xdr:nvPicPr>
      <xdr:blipFill>
        <a:blip xmlns:r="http://schemas.openxmlformats.org/officeDocument/2006/relationships" r:embed="rId1"/>
        <a:srcRect/>
        <a:stretch>
          <a:fillRect/>
        </a:stretch>
      </xdr:blipFill>
      <xdr:spPr bwMode="auto">
        <a:xfrm>
          <a:off x="11524809" y="4895850"/>
          <a:ext cx="1095815" cy="447673"/>
        </a:xfrm>
        <a:prstGeom prst="rect">
          <a:avLst/>
        </a:prstGeom>
        <a:noFill/>
        <a:ln w="9525">
          <a:noFill/>
          <a:miter lim="800000"/>
          <a:headEnd/>
          <a:tailEnd/>
        </a:ln>
      </xdr:spPr>
    </xdr:pic>
    <xdr:clientData/>
  </xdr:twoCellAnchor>
  <xdr:twoCellAnchor>
    <xdr:from>
      <xdr:col>19</xdr:col>
      <xdr:colOff>38100</xdr:colOff>
      <xdr:row>13</xdr:row>
      <xdr:rowOff>156050</xdr:rowOff>
    </xdr:from>
    <xdr:to>
      <xdr:col>20</xdr:col>
      <xdr:colOff>0</xdr:colOff>
      <xdr:row>13</xdr:row>
      <xdr:rowOff>725200</xdr:rowOff>
    </xdr:to>
    <xdr:pic>
      <xdr:nvPicPr>
        <xdr:cNvPr id="3" name="Рисунок 2"/>
        <xdr:cNvPicPr>
          <a:picLocks noChangeAspect="1" noChangeArrowheads="1"/>
        </xdr:cNvPicPr>
      </xdr:nvPicPr>
      <xdr:blipFill>
        <a:blip xmlns:r="http://schemas.openxmlformats.org/officeDocument/2006/relationships" r:embed="rId2"/>
        <a:srcRect/>
        <a:stretch>
          <a:fillRect/>
        </a:stretch>
      </xdr:blipFill>
      <xdr:spPr bwMode="auto">
        <a:xfrm>
          <a:off x="9753600" y="4804250"/>
          <a:ext cx="819150" cy="569150"/>
        </a:xfrm>
        <a:prstGeom prst="rect">
          <a:avLst/>
        </a:prstGeom>
        <a:noFill/>
        <a:ln w="9525">
          <a:noFill/>
          <a:miter lim="800000"/>
          <a:headEnd/>
          <a:tailEnd/>
        </a:ln>
      </xdr:spPr>
    </xdr:pic>
    <xdr:clientData/>
  </xdr:twoCellAnchor>
  <xdr:twoCellAnchor>
    <xdr:from>
      <xdr:col>20</xdr:col>
      <xdr:colOff>73141</xdr:colOff>
      <xdr:row>13</xdr:row>
      <xdr:rowOff>16544</xdr:rowOff>
    </xdr:from>
    <xdr:to>
      <xdr:col>20</xdr:col>
      <xdr:colOff>1156599</xdr:colOff>
      <xdr:row>13</xdr:row>
      <xdr:rowOff>400446</xdr:rowOff>
    </xdr:to>
    <xdr:pic>
      <xdr:nvPicPr>
        <xdr:cNvPr id="4" name="Рисунок 1"/>
        <xdr:cNvPicPr>
          <a:picLocks noChangeAspect="1" noChangeArrowheads="1"/>
        </xdr:cNvPicPr>
      </xdr:nvPicPr>
      <xdr:blipFill>
        <a:blip xmlns:r="http://schemas.openxmlformats.org/officeDocument/2006/relationships" r:embed="rId3"/>
        <a:srcRect/>
        <a:stretch>
          <a:fillRect/>
        </a:stretch>
      </xdr:blipFill>
      <xdr:spPr bwMode="auto">
        <a:xfrm>
          <a:off x="10645891" y="4664744"/>
          <a:ext cx="845333" cy="383902"/>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37659</xdr:colOff>
      <xdr:row>13</xdr:row>
      <xdr:rowOff>247650</xdr:rowOff>
    </xdr:from>
    <xdr:to>
      <xdr:col>16</xdr:col>
      <xdr:colOff>1133474</xdr:colOff>
      <xdr:row>13</xdr:row>
      <xdr:rowOff>695323</xdr:rowOff>
    </xdr:to>
    <xdr:pic>
      <xdr:nvPicPr>
        <xdr:cNvPr id="2" name="Рисунок 4"/>
        <xdr:cNvPicPr>
          <a:picLocks noChangeAspect="1" noChangeArrowheads="1"/>
        </xdr:cNvPicPr>
      </xdr:nvPicPr>
      <xdr:blipFill>
        <a:blip xmlns:r="http://schemas.openxmlformats.org/officeDocument/2006/relationships" r:embed="rId1"/>
        <a:srcRect/>
        <a:stretch>
          <a:fillRect/>
        </a:stretch>
      </xdr:blipFill>
      <xdr:spPr bwMode="auto">
        <a:xfrm>
          <a:off x="7676709" y="2800350"/>
          <a:ext cx="1000565" cy="447673"/>
        </a:xfrm>
        <a:prstGeom prst="rect">
          <a:avLst/>
        </a:prstGeom>
        <a:noFill/>
        <a:ln w="9525">
          <a:noFill/>
          <a:miter lim="800000"/>
          <a:headEnd/>
          <a:tailEnd/>
        </a:ln>
      </xdr:spPr>
    </xdr:pic>
    <xdr:clientData/>
  </xdr:twoCellAnchor>
  <xdr:twoCellAnchor>
    <xdr:from>
      <xdr:col>14</xdr:col>
      <xdr:colOff>38100</xdr:colOff>
      <xdr:row>13</xdr:row>
      <xdr:rowOff>156050</xdr:rowOff>
    </xdr:from>
    <xdr:to>
      <xdr:col>15</xdr:col>
      <xdr:colOff>0</xdr:colOff>
      <xdr:row>13</xdr:row>
      <xdr:rowOff>725200</xdr:rowOff>
    </xdr:to>
    <xdr:pic>
      <xdr:nvPicPr>
        <xdr:cNvPr id="3" name="Рисунок 2"/>
        <xdr:cNvPicPr>
          <a:picLocks noChangeAspect="1" noChangeArrowheads="1"/>
        </xdr:cNvPicPr>
      </xdr:nvPicPr>
      <xdr:blipFill>
        <a:blip xmlns:r="http://schemas.openxmlformats.org/officeDocument/2006/relationships" r:embed="rId2"/>
        <a:srcRect/>
        <a:stretch>
          <a:fillRect/>
        </a:stretch>
      </xdr:blipFill>
      <xdr:spPr bwMode="auto">
        <a:xfrm>
          <a:off x="5953125" y="2708750"/>
          <a:ext cx="704850" cy="569150"/>
        </a:xfrm>
        <a:prstGeom prst="rect">
          <a:avLst/>
        </a:prstGeom>
        <a:noFill/>
        <a:ln w="9525">
          <a:noFill/>
          <a:miter lim="800000"/>
          <a:headEnd/>
          <a:tailEnd/>
        </a:ln>
      </xdr:spPr>
    </xdr:pic>
    <xdr:clientData/>
  </xdr:twoCellAnchor>
  <xdr:twoCellAnchor>
    <xdr:from>
      <xdr:col>15</xdr:col>
      <xdr:colOff>73141</xdr:colOff>
      <xdr:row>13</xdr:row>
      <xdr:rowOff>16544</xdr:rowOff>
    </xdr:from>
    <xdr:to>
      <xdr:col>15</xdr:col>
      <xdr:colOff>1156599</xdr:colOff>
      <xdr:row>13</xdr:row>
      <xdr:rowOff>400446</xdr:rowOff>
    </xdr:to>
    <xdr:pic>
      <xdr:nvPicPr>
        <xdr:cNvPr id="4" name="Рисунок 1"/>
        <xdr:cNvPicPr>
          <a:picLocks noChangeAspect="1" noChangeArrowheads="1"/>
        </xdr:cNvPicPr>
      </xdr:nvPicPr>
      <xdr:blipFill>
        <a:blip xmlns:r="http://schemas.openxmlformats.org/officeDocument/2006/relationships" r:embed="rId3"/>
        <a:srcRect/>
        <a:stretch>
          <a:fillRect/>
        </a:stretch>
      </xdr:blipFill>
      <xdr:spPr bwMode="auto">
        <a:xfrm>
          <a:off x="6731116" y="2569244"/>
          <a:ext cx="912008" cy="38390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3"/>
  <sheetViews>
    <sheetView topLeftCell="A30" zoomScale="130" zoomScaleNormal="130" workbookViewId="0">
      <selection activeCell="B34" sqref="B34"/>
    </sheetView>
  </sheetViews>
  <sheetFormatPr defaultRowHeight="15" x14ac:dyDescent="0.25"/>
  <cols>
    <col min="1" max="1" width="3.5703125" style="1" customWidth="1"/>
    <col min="2" max="2" width="34.7109375" style="13" customWidth="1"/>
    <col min="3" max="3" width="6" style="1" customWidth="1"/>
    <col min="4" max="7" width="7" style="1" customWidth="1"/>
    <col min="8" max="8" width="6.7109375" style="1" customWidth="1"/>
    <col min="9" max="9" width="8.5703125" style="60" customWidth="1"/>
    <col min="10" max="10" width="9" style="60" customWidth="1"/>
    <col min="11" max="11" width="8.7109375" style="60" customWidth="1"/>
    <col min="12" max="12" width="10.7109375" style="1" customWidth="1"/>
    <col min="13" max="13" width="11.42578125" style="1" customWidth="1"/>
    <col min="14" max="14" width="12.42578125" style="11" customWidth="1"/>
    <col min="15" max="15" width="11" style="1" customWidth="1"/>
    <col min="16" max="16" width="12.85546875" style="1" customWidth="1"/>
    <col min="17" max="17" width="13.7109375" style="1" customWidth="1"/>
    <col min="18" max="18" width="17.42578125" style="1" customWidth="1"/>
    <col min="19" max="19" width="12.7109375" style="1" customWidth="1"/>
    <col min="20" max="20" width="12.85546875" style="1" customWidth="1"/>
    <col min="21" max="21" width="13" style="1" customWidth="1"/>
    <col min="22" max="22" width="0.5703125" style="1" hidden="1" customWidth="1"/>
    <col min="23" max="23" width="14" style="1" customWidth="1"/>
    <col min="24" max="24" width="10.42578125" style="1" bestFit="1" customWidth="1"/>
    <col min="25" max="25" width="11" style="1" customWidth="1"/>
    <col min="26" max="26" width="10.42578125" style="1" bestFit="1" customWidth="1"/>
    <col min="27" max="27" width="9.42578125" style="1" bestFit="1" customWidth="1"/>
    <col min="28" max="16384" width="9.140625" style="1"/>
  </cols>
  <sheetData>
    <row r="1" spans="1:22" hidden="1" x14ac:dyDescent="0.25">
      <c r="S1" s="169"/>
      <c r="T1" s="169"/>
      <c r="U1" s="169"/>
      <c r="V1" s="169"/>
    </row>
    <row r="2" spans="1:22" ht="15" customHeight="1" x14ac:dyDescent="0.3">
      <c r="A2" s="170" t="s">
        <v>20</v>
      </c>
      <c r="B2" s="170"/>
      <c r="C2" s="170"/>
      <c r="D2" s="170"/>
      <c r="E2" s="170"/>
      <c r="F2" s="170"/>
      <c r="G2" s="170"/>
      <c r="H2" s="170"/>
      <c r="I2" s="170"/>
      <c r="J2" s="170"/>
      <c r="K2" s="170"/>
      <c r="L2" s="170"/>
      <c r="M2" s="170"/>
      <c r="N2" s="170"/>
      <c r="O2" s="170"/>
      <c r="P2" s="170"/>
      <c r="Q2" s="170"/>
      <c r="R2" s="170"/>
      <c r="S2" s="170"/>
      <c r="T2" s="170"/>
      <c r="U2" s="170"/>
    </row>
    <row r="3" spans="1:22" ht="15" customHeight="1" x14ac:dyDescent="0.3">
      <c r="A3" s="170" t="s">
        <v>24</v>
      </c>
      <c r="B3" s="170"/>
      <c r="C3" s="170"/>
      <c r="D3" s="170"/>
      <c r="E3" s="170"/>
      <c r="F3" s="170"/>
      <c r="G3" s="170"/>
      <c r="H3" s="170"/>
      <c r="I3" s="170"/>
      <c r="J3" s="170"/>
      <c r="K3" s="170"/>
      <c r="L3" s="170"/>
      <c r="M3" s="170"/>
      <c r="N3" s="170"/>
      <c r="O3" s="170"/>
      <c r="P3" s="170"/>
      <c r="Q3" s="170"/>
      <c r="R3" s="170"/>
      <c r="S3" s="170"/>
      <c r="T3" s="170"/>
      <c r="U3" s="170"/>
    </row>
    <row r="4" spans="1:22" ht="15.75" thickBot="1" x14ac:dyDescent="0.3">
      <c r="A4" s="172" t="s">
        <v>107</v>
      </c>
      <c r="B4" s="173"/>
      <c r="C4" s="173"/>
      <c r="D4" s="173"/>
      <c r="E4" s="173"/>
      <c r="F4" s="173"/>
      <c r="G4" s="173"/>
      <c r="H4" s="173"/>
      <c r="I4" s="173"/>
      <c r="J4" s="173"/>
      <c r="K4" s="173"/>
      <c r="L4" s="173"/>
      <c r="M4" s="173"/>
      <c r="N4" s="173"/>
      <c r="O4" s="173"/>
      <c r="P4" s="173"/>
      <c r="Q4" s="173"/>
      <c r="R4" s="173"/>
      <c r="S4" s="173"/>
      <c r="T4" s="173"/>
      <c r="U4" s="173"/>
      <c r="V4" s="173"/>
    </row>
    <row r="5" spans="1:22" ht="17.25" customHeight="1" thickTop="1" x14ac:dyDescent="0.25">
      <c r="A5" s="171" t="s">
        <v>21</v>
      </c>
      <c r="B5" s="171"/>
      <c r="C5" s="171"/>
      <c r="D5" s="171"/>
      <c r="E5" s="171"/>
      <c r="F5" s="171"/>
      <c r="G5" s="171"/>
      <c r="H5" s="171"/>
      <c r="I5" s="171"/>
      <c r="J5" s="171"/>
      <c r="K5" s="171"/>
      <c r="L5" s="171"/>
      <c r="M5" s="171"/>
      <c r="N5" s="171"/>
      <c r="O5" s="171"/>
      <c r="P5" s="171"/>
      <c r="Q5" s="171"/>
      <c r="R5" s="171"/>
      <c r="S5" s="171"/>
      <c r="T5" s="171"/>
      <c r="U5" s="171"/>
    </row>
    <row r="6" spans="1:22" ht="41.25" customHeight="1" x14ac:dyDescent="0.25">
      <c r="A6" s="171" t="s">
        <v>72</v>
      </c>
      <c r="B6" s="171"/>
      <c r="C6" s="171"/>
      <c r="D6" s="171"/>
      <c r="E6" s="171"/>
      <c r="F6" s="171"/>
      <c r="G6" s="171"/>
      <c r="H6" s="171"/>
      <c r="I6" s="171"/>
      <c r="J6" s="171"/>
      <c r="K6" s="171"/>
      <c r="L6" s="171"/>
      <c r="M6" s="171"/>
      <c r="N6" s="171"/>
      <c r="O6" s="171"/>
      <c r="P6" s="171"/>
      <c r="Q6" s="171"/>
      <c r="R6" s="171"/>
      <c r="S6" s="171"/>
      <c r="T6" s="171"/>
      <c r="U6" s="171"/>
    </row>
    <row r="7" spans="1:22" ht="4.5" customHeight="1" x14ac:dyDescent="0.25">
      <c r="A7" s="4"/>
      <c r="B7" s="14"/>
      <c r="C7" s="4"/>
      <c r="D7" s="19"/>
      <c r="E7" s="19"/>
      <c r="F7" s="19"/>
      <c r="G7" s="19"/>
      <c r="H7" s="4"/>
      <c r="I7" s="119"/>
      <c r="J7" s="119"/>
      <c r="K7" s="119"/>
      <c r="L7" s="12"/>
      <c r="M7" s="4"/>
      <c r="N7" s="12"/>
      <c r="O7" s="4"/>
      <c r="P7" s="4"/>
      <c r="Q7" s="4"/>
      <c r="R7" s="4"/>
      <c r="S7" s="4"/>
      <c r="T7" s="4"/>
      <c r="U7" s="4"/>
    </row>
    <row r="8" spans="1:22" ht="15" customHeight="1" x14ac:dyDescent="0.25">
      <c r="A8" s="146" t="s">
        <v>17</v>
      </c>
      <c r="B8" s="147"/>
      <c r="C8" s="147"/>
      <c r="D8" s="147"/>
      <c r="E8" s="147"/>
      <c r="F8" s="147"/>
      <c r="G8" s="147"/>
      <c r="H8" s="147"/>
      <c r="I8" s="147"/>
      <c r="J8" s="147"/>
      <c r="K8" s="147"/>
      <c r="L8" s="148"/>
      <c r="M8" s="152" t="s">
        <v>19</v>
      </c>
      <c r="N8" s="153"/>
      <c r="O8" s="153"/>
      <c r="P8" s="153"/>
      <c r="Q8" s="153"/>
      <c r="R8" s="153"/>
      <c r="S8" s="153"/>
      <c r="T8" s="153"/>
      <c r="U8" s="154"/>
    </row>
    <row r="9" spans="1:22" s="6" customFormat="1" ht="7.5" hidden="1" customHeight="1" x14ac:dyDescent="0.25">
      <c r="A9" s="149"/>
      <c r="B9" s="150"/>
      <c r="C9" s="150"/>
      <c r="D9" s="150"/>
      <c r="E9" s="150"/>
      <c r="F9" s="150"/>
      <c r="G9" s="150"/>
      <c r="H9" s="150"/>
      <c r="I9" s="150"/>
      <c r="J9" s="150"/>
      <c r="K9" s="150"/>
      <c r="L9" s="151"/>
      <c r="M9" s="155"/>
      <c r="N9" s="156"/>
      <c r="O9" s="156"/>
      <c r="P9" s="156"/>
      <c r="Q9" s="156"/>
      <c r="R9" s="156"/>
      <c r="S9" s="156"/>
      <c r="T9" s="156"/>
      <c r="U9" s="157"/>
    </row>
    <row r="10" spans="1:22" s="6" customFormat="1" ht="41.25" customHeight="1" x14ac:dyDescent="0.25">
      <c r="A10" s="158" t="s">
        <v>18</v>
      </c>
      <c r="B10" s="159"/>
      <c r="C10" s="159"/>
      <c r="D10" s="159"/>
      <c r="E10" s="159"/>
      <c r="F10" s="159"/>
      <c r="G10" s="159"/>
      <c r="H10" s="159"/>
      <c r="I10" s="159"/>
      <c r="J10" s="159"/>
      <c r="K10" s="159"/>
      <c r="L10" s="160"/>
      <c r="M10" s="161" t="s">
        <v>92</v>
      </c>
      <c r="N10" s="162"/>
      <c r="O10" s="162"/>
      <c r="P10" s="162"/>
      <c r="Q10" s="162"/>
      <c r="R10" s="162"/>
      <c r="S10" s="162"/>
      <c r="T10" s="162"/>
      <c r="U10" s="163"/>
    </row>
    <row r="11" spans="1:22" ht="15" customHeight="1" x14ac:dyDescent="0.25">
      <c r="A11" s="164" t="s">
        <v>0</v>
      </c>
      <c r="B11" s="164"/>
      <c r="C11" s="164"/>
      <c r="D11" s="164"/>
      <c r="E11" s="164"/>
      <c r="F11" s="164"/>
      <c r="G11" s="164"/>
      <c r="H11" s="164"/>
      <c r="I11" s="164"/>
      <c r="J11" s="164"/>
      <c r="K11" s="164"/>
      <c r="L11" s="164"/>
      <c r="M11" s="164"/>
      <c r="N11" s="164"/>
      <c r="O11" s="164"/>
      <c r="P11" s="164"/>
      <c r="Q11" s="164"/>
      <c r="R11" s="164"/>
      <c r="S11" s="164"/>
      <c r="T11" s="164"/>
      <c r="U11" s="164"/>
    </row>
    <row r="12" spans="1:22" ht="15.75" hidden="1" thickBot="1" x14ac:dyDescent="0.3">
      <c r="B12" s="1"/>
      <c r="N12" s="1"/>
    </row>
    <row r="13" spans="1:22" ht="44.25" customHeight="1" x14ac:dyDescent="0.25">
      <c r="A13" s="143" t="s">
        <v>1</v>
      </c>
      <c r="B13" s="145" t="s">
        <v>2</v>
      </c>
      <c r="C13" s="143" t="s">
        <v>3</v>
      </c>
      <c r="D13" s="174" t="s">
        <v>28</v>
      </c>
      <c r="E13" s="174" t="s">
        <v>29</v>
      </c>
      <c r="F13" s="174" t="s">
        <v>30</v>
      </c>
      <c r="G13" s="174" t="s">
        <v>31</v>
      </c>
      <c r="H13" s="143" t="s">
        <v>32</v>
      </c>
      <c r="I13" s="165" t="s">
        <v>4</v>
      </c>
      <c r="J13" s="165"/>
      <c r="K13" s="165"/>
      <c r="L13" s="165"/>
      <c r="M13" s="165"/>
      <c r="N13" s="165"/>
      <c r="O13" s="165" t="s">
        <v>5</v>
      </c>
      <c r="P13" s="165"/>
      <c r="Q13" s="165"/>
      <c r="R13" s="165" t="s">
        <v>12</v>
      </c>
      <c r="S13" s="165"/>
      <c r="T13" s="165"/>
      <c r="U13" s="165"/>
    </row>
    <row r="14" spans="1:22" ht="80.25" customHeight="1" x14ac:dyDescent="0.25">
      <c r="A14" s="143"/>
      <c r="B14" s="145"/>
      <c r="C14" s="143"/>
      <c r="D14" s="174"/>
      <c r="E14" s="174"/>
      <c r="F14" s="174"/>
      <c r="G14" s="174"/>
      <c r="H14" s="143"/>
      <c r="I14" s="112" t="s">
        <v>94</v>
      </c>
      <c r="J14" s="112" t="s">
        <v>103</v>
      </c>
      <c r="K14" s="112" t="s">
        <v>95</v>
      </c>
      <c r="L14" s="131" t="s">
        <v>94</v>
      </c>
      <c r="M14" s="131" t="s">
        <v>103</v>
      </c>
      <c r="N14" s="131" t="s">
        <v>95</v>
      </c>
      <c r="O14" s="144" t="s">
        <v>7</v>
      </c>
      <c r="P14" s="144" t="s">
        <v>6</v>
      </c>
      <c r="Q14" s="144" t="s">
        <v>8</v>
      </c>
      <c r="R14" s="144" t="s">
        <v>9</v>
      </c>
      <c r="S14" s="144" t="s">
        <v>10</v>
      </c>
      <c r="T14" s="144" t="s">
        <v>15</v>
      </c>
      <c r="U14" s="144" t="s">
        <v>11</v>
      </c>
    </row>
    <row r="15" spans="1:22" ht="22.5" x14ac:dyDescent="0.25">
      <c r="A15" s="143"/>
      <c r="B15" s="145"/>
      <c r="C15" s="143"/>
      <c r="D15" s="174"/>
      <c r="E15" s="174"/>
      <c r="F15" s="174"/>
      <c r="G15" s="174"/>
      <c r="H15" s="143"/>
      <c r="I15" s="112" t="s">
        <v>33</v>
      </c>
      <c r="J15" s="112" t="s">
        <v>33</v>
      </c>
      <c r="K15" s="112" t="s">
        <v>33</v>
      </c>
      <c r="L15" s="53" t="s">
        <v>34</v>
      </c>
      <c r="M15" s="53" t="s">
        <v>34</v>
      </c>
      <c r="N15" s="53" t="s">
        <v>34</v>
      </c>
      <c r="O15" s="144"/>
      <c r="P15" s="144"/>
      <c r="Q15" s="144"/>
      <c r="R15" s="144"/>
      <c r="S15" s="144"/>
      <c r="T15" s="144"/>
      <c r="U15" s="144"/>
    </row>
    <row r="16" spans="1:22" ht="19.5" customHeight="1" x14ac:dyDescent="0.25">
      <c r="A16" s="52">
        <v>1</v>
      </c>
      <c r="B16" s="31" t="s">
        <v>40</v>
      </c>
      <c r="C16" s="56" t="s">
        <v>25</v>
      </c>
      <c r="D16" s="43">
        <v>20</v>
      </c>
      <c r="E16" s="43">
        <v>30</v>
      </c>
      <c r="F16" s="43">
        <v>95</v>
      </c>
      <c r="G16" s="43">
        <v>145</v>
      </c>
      <c r="H16" s="57">
        <f>D16+E16+F16+G16</f>
        <v>290</v>
      </c>
      <c r="I16" s="117">
        <v>100</v>
      </c>
      <c r="J16" s="117">
        <v>330</v>
      </c>
      <c r="K16" s="117">
        <v>0</v>
      </c>
      <c r="L16" s="20">
        <f>I16*H16</f>
        <v>29000</v>
      </c>
      <c r="M16" s="20">
        <f>J16*H16</f>
        <v>95700</v>
      </c>
      <c r="N16" s="20">
        <f>K16*H16</f>
        <v>0</v>
      </c>
      <c r="O16" s="21">
        <f>AVERAGE(I16:K16)</f>
        <v>143.33333333333334</v>
      </c>
      <c r="P16" s="21">
        <f>STDEV(I16:K16)</f>
        <v>169.21386861996072</v>
      </c>
      <c r="Q16" s="22">
        <f>P16/O16*100</f>
        <v>118.0561874092749</v>
      </c>
      <c r="R16" s="23">
        <f>H16/3*(I16+J16+K16)/290</f>
        <v>143.33333333333334</v>
      </c>
      <c r="S16" s="23">
        <f>R16</f>
        <v>143.33333333333334</v>
      </c>
      <c r="T16" s="21">
        <f>S16</f>
        <v>143.33333333333334</v>
      </c>
      <c r="U16" s="21">
        <f>O16*H16</f>
        <v>41566.666666666672</v>
      </c>
    </row>
    <row r="17" spans="1:21" ht="36.75" customHeight="1" x14ac:dyDescent="0.25">
      <c r="A17" s="52">
        <v>2</v>
      </c>
      <c r="B17" s="104" t="s">
        <v>83</v>
      </c>
      <c r="C17" s="56" t="s">
        <v>25</v>
      </c>
      <c r="D17" s="43">
        <v>20</v>
      </c>
      <c r="E17" s="43">
        <v>30</v>
      </c>
      <c r="F17" s="43">
        <v>95</v>
      </c>
      <c r="G17" s="43">
        <v>145</v>
      </c>
      <c r="H17" s="57">
        <f t="shared" ref="H17:H40" si="0">D17+E17+F17+G17</f>
        <v>290</v>
      </c>
      <c r="I17" s="122">
        <v>35</v>
      </c>
      <c r="J17" s="122">
        <v>150</v>
      </c>
      <c r="K17" s="122">
        <v>105</v>
      </c>
      <c r="L17" s="20">
        <f>I17*H17</f>
        <v>10150</v>
      </c>
      <c r="M17" s="20">
        <f>J17*H17</f>
        <v>43500</v>
      </c>
      <c r="N17" s="20">
        <f>K17*H17</f>
        <v>30450</v>
      </c>
      <c r="O17" s="21">
        <f>AVERAGE(I17:K17)</f>
        <v>96.666666666666671</v>
      </c>
      <c r="P17" s="21">
        <f>STDEV(I17:K17)</f>
        <v>57.951128835712375</v>
      </c>
      <c r="Q17" s="22">
        <f>P17/O17*100</f>
        <v>59.949443623150735</v>
      </c>
      <c r="R17" s="23">
        <f t="shared" ref="R17:R37" si="1">H17/3*(I17+J17+K17)/290</f>
        <v>96.666666666666671</v>
      </c>
      <c r="S17" s="23">
        <f>R17</f>
        <v>96.666666666666671</v>
      </c>
      <c r="T17" s="21">
        <f>S17</f>
        <v>96.666666666666671</v>
      </c>
      <c r="U17" s="21">
        <f>O17*H17</f>
        <v>28033.333333333336</v>
      </c>
    </row>
    <row r="18" spans="1:21" ht="29.25" customHeight="1" x14ac:dyDescent="0.25">
      <c r="A18" s="52">
        <v>3</v>
      </c>
      <c r="B18" s="104" t="s">
        <v>68</v>
      </c>
      <c r="C18" s="56" t="s">
        <v>25</v>
      </c>
      <c r="D18" s="43">
        <v>20</v>
      </c>
      <c r="E18" s="43">
        <v>30</v>
      </c>
      <c r="F18" s="43">
        <v>95</v>
      </c>
      <c r="G18" s="43">
        <v>145</v>
      </c>
      <c r="H18" s="57">
        <f t="shared" si="0"/>
        <v>290</v>
      </c>
      <c r="I18" s="122">
        <v>150</v>
      </c>
      <c r="J18" s="122">
        <v>240</v>
      </c>
      <c r="K18" s="122">
        <v>200</v>
      </c>
      <c r="L18" s="20">
        <f t="shared" ref="L18:L39" si="2">I18*H18</f>
        <v>43500</v>
      </c>
      <c r="M18" s="20">
        <f t="shared" ref="M18:M40" si="3">J18*H18</f>
        <v>69600</v>
      </c>
      <c r="N18" s="20">
        <f t="shared" ref="N18:N40" si="4">K18*H18</f>
        <v>58000</v>
      </c>
      <c r="O18" s="21">
        <f t="shared" ref="O18:O39" si="5">AVERAGE(I18:K18)</f>
        <v>196.66666666666666</v>
      </c>
      <c r="P18" s="21">
        <f t="shared" ref="P18:P38" si="6">STDEV(I18:K18)</f>
        <v>45.092497528228968</v>
      </c>
      <c r="Q18" s="22">
        <f t="shared" ref="Q18:Q38" si="7">P18/O18*100</f>
        <v>22.928388573675747</v>
      </c>
      <c r="R18" s="23">
        <f t="shared" si="1"/>
        <v>196.66666666666669</v>
      </c>
      <c r="S18" s="23">
        <f t="shared" ref="S18:T18" si="8">R18</f>
        <v>196.66666666666669</v>
      </c>
      <c r="T18" s="21">
        <f t="shared" si="8"/>
        <v>196.66666666666669</v>
      </c>
      <c r="U18" s="21">
        <f t="shared" ref="U18:U35" si="9">O18*H18</f>
        <v>57033.333333333328</v>
      </c>
    </row>
    <row r="19" spans="1:21" ht="23.25" customHeight="1" x14ac:dyDescent="0.25">
      <c r="A19" s="52">
        <v>4</v>
      </c>
      <c r="B19" s="104" t="s">
        <v>41</v>
      </c>
      <c r="C19" s="56" t="s">
        <v>25</v>
      </c>
      <c r="D19" s="43">
        <v>20</v>
      </c>
      <c r="E19" s="43">
        <v>30</v>
      </c>
      <c r="F19" s="43">
        <v>95</v>
      </c>
      <c r="G19" s="43">
        <v>145</v>
      </c>
      <c r="H19" s="57">
        <f t="shared" si="0"/>
        <v>290</v>
      </c>
      <c r="I19" s="122">
        <v>150</v>
      </c>
      <c r="J19" s="117">
        <v>240</v>
      </c>
      <c r="K19" s="117">
        <v>150</v>
      </c>
      <c r="L19" s="20">
        <f t="shared" si="2"/>
        <v>43500</v>
      </c>
      <c r="M19" s="20">
        <f t="shared" si="3"/>
        <v>69600</v>
      </c>
      <c r="N19" s="20">
        <f t="shared" si="4"/>
        <v>43500</v>
      </c>
      <c r="O19" s="21">
        <f t="shared" si="5"/>
        <v>180</v>
      </c>
      <c r="P19" s="21">
        <f t="shared" ref="P19" si="10">STDEV(I19:K19)</f>
        <v>51.96152422706632</v>
      </c>
      <c r="Q19" s="22">
        <f t="shared" ref="Q19" si="11">P19/O19*100</f>
        <v>28.867513459481287</v>
      </c>
      <c r="R19" s="23">
        <f t="shared" si="1"/>
        <v>180</v>
      </c>
      <c r="S19" s="23">
        <f t="shared" ref="S19" si="12">R19</f>
        <v>180</v>
      </c>
      <c r="T19" s="21">
        <f t="shared" ref="T19" si="13">S19</f>
        <v>180</v>
      </c>
      <c r="U19" s="21">
        <f t="shared" ref="U19" si="14">O19*H19</f>
        <v>52200</v>
      </c>
    </row>
    <row r="20" spans="1:21" ht="37.5" customHeight="1" x14ac:dyDescent="0.25">
      <c r="A20" s="52">
        <v>5</v>
      </c>
      <c r="B20" s="104" t="s">
        <v>82</v>
      </c>
      <c r="C20" s="56" t="s">
        <v>25</v>
      </c>
      <c r="D20" s="43">
        <v>20</v>
      </c>
      <c r="E20" s="43">
        <v>30</v>
      </c>
      <c r="F20" s="43">
        <v>95</v>
      </c>
      <c r="G20" s="43">
        <v>145</v>
      </c>
      <c r="H20" s="57">
        <f t="shared" si="0"/>
        <v>290</v>
      </c>
      <c r="I20" s="122">
        <f>125+15</f>
        <v>140</v>
      </c>
      <c r="J20" s="122">
        <v>350</v>
      </c>
      <c r="K20" s="122">
        <v>200</v>
      </c>
      <c r="L20" s="20">
        <f t="shared" si="2"/>
        <v>40600</v>
      </c>
      <c r="M20" s="20">
        <f t="shared" si="3"/>
        <v>101500</v>
      </c>
      <c r="N20" s="20">
        <f t="shared" si="4"/>
        <v>58000</v>
      </c>
      <c r="O20" s="21">
        <f t="shared" si="5"/>
        <v>230</v>
      </c>
      <c r="P20" s="21">
        <f t="shared" si="6"/>
        <v>108.16653826391968</v>
      </c>
      <c r="Q20" s="22">
        <f t="shared" si="7"/>
        <v>47.028929679965074</v>
      </c>
      <c r="R20" s="23">
        <f t="shared" si="1"/>
        <v>230</v>
      </c>
      <c r="S20" s="23">
        <f t="shared" ref="S20:T20" si="15">R20</f>
        <v>230</v>
      </c>
      <c r="T20" s="21">
        <f t="shared" si="15"/>
        <v>230</v>
      </c>
      <c r="U20" s="21">
        <f t="shared" si="9"/>
        <v>66700</v>
      </c>
    </row>
    <row r="21" spans="1:21" ht="29.25" customHeight="1" x14ac:dyDescent="0.25">
      <c r="A21" s="52">
        <v>6</v>
      </c>
      <c r="B21" s="104" t="s">
        <v>86</v>
      </c>
      <c r="C21" s="56" t="s">
        <v>25</v>
      </c>
      <c r="D21" s="43">
        <v>20</v>
      </c>
      <c r="E21" s="43">
        <v>30</v>
      </c>
      <c r="F21" s="43">
        <v>95</v>
      </c>
      <c r="G21" s="43">
        <v>145</v>
      </c>
      <c r="H21" s="57">
        <f t="shared" si="0"/>
        <v>290</v>
      </c>
      <c r="I21" s="122">
        <v>120</v>
      </c>
      <c r="J21" s="122">
        <v>120</v>
      </c>
      <c r="K21" s="122">
        <v>105</v>
      </c>
      <c r="L21" s="20">
        <f t="shared" si="2"/>
        <v>34800</v>
      </c>
      <c r="M21" s="20">
        <f t="shared" si="3"/>
        <v>34800</v>
      </c>
      <c r="N21" s="20">
        <f t="shared" si="4"/>
        <v>30450</v>
      </c>
      <c r="O21" s="21">
        <f t="shared" si="5"/>
        <v>115</v>
      </c>
      <c r="P21" s="21">
        <f t="shared" si="6"/>
        <v>8.6602540378443873</v>
      </c>
      <c r="Q21" s="22">
        <f t="shared" si="7"/>
        <v>7.5306556850820758</v>
      </c>
      <c r="R21" s="23">
        <f t="shared" si="1"/>
        <v>115</v>
      </c>
      <c r="S21" s="23">
        <f t="shared" ref="S21:T21" si="16">R21</f>
        <v>115</v>
      </c>
      <c r="T21" s="21">
        <f t="shared" si="16"/>
        <v>115</v>
      </c>
      <c r="U21" s="21">
        <f t="shared" si="9"/>
        <v>33350</v>
      </c>
    </row>
    <row r="22" spans="1:21" ht="18" customHeight="1" x14ac:dyDescent="0.25">
      <c r="A22" s="52">
        <v>7</v>
      </c>
      <c r="B22" s="104" t="s">
        <v>78</v>
      </c>
      <c r="C22" s="56" t="s">
        <v>25</v>
      </c>
      <c r="D22" s="43">
        <v>20</v>
      </c>
      <c r="E22" s="43">
        <v>30</v>
      </c>
      <c r="F22" s="43">
        <v>95</v>
      </c>
      <c r="G22" s="43">
        <v>145</v>
      </c>
      <c r="H22" s="57">
        <f t="shared" si="0"/>
        <v>290</v>
      </c>
      <c r="I22" s="122">
        <v>120</v>
      </c>
      <c r="J22" s="122">
        <v>120</v>
      </c>
      <c r="K22" s="122">
        <v>105</v>
      </c>
      <c r="L22" s="20">
        <f t="shared" si="2"/>
        <v>34800</v>
      </c>
      <c r="M22" s="20">
        <f t="shared" si="3"/>
        <v>34800</v>
      </c>
      <c r="N22" s="20">
        <f t="shared" si="4"/>
        <v>30450</v>
      </c>
      <c r="O22" s="21">
        <f t="shared" si="5"/>
        <v>115</v>
      </c>
      <c r="P22" s="21">
        <f t="shared" si="6"/>
        <v>8.6602540378443873</v>
      </c>
      <c r="Q22" s="22">
        <f t="shared" si="7"/>
        <v>7.5306556850820758</v>
      </c>
      <c r="R22" s="23">
        <f t="shared" si="1"/>
        <v>115</v>
      </c>
      <c r="S22" s="23">
        <f t="shared" ref="S22:T22" si="17">R22</f>
        <v>115</v>
      </c>
      <c r="T22" s="21">
        <f t="shared" si="17"/>
        <v>115</v>
      </c>
      <c r="U22" s="21">
        <f t="shared" si="9"/>
        <v>33350</v>
      </c>
    </row>
    <row r="23" spans="1:21" ht="21" customHeight="1" x14ac:dyDescent="0.25">
      <c r="A23" s="52">
        <v>8</v>
      </c>
      <c r="B23" s="104" t="s">
        <v>79</v>
      </c>
      <c r="C23" s="56" t="s">
        <v>25</v>
      </c>
      <c r="D23" s="43">
        <v>20</v>
      </c>
      <c r="E23" s="43">
        <v>30</v>
      </c>
      <c r="F23" s="43">
        <v>95</v>
      </c>
      <c r="G23" s="43">
        <v>145</v>
      </c>
      <c r="H23" s="57">
        <f t="shared" si="0"/>
        <v>290</v>
      </c>
      <c r="I23" s="122">
        <v>120</v>
      </c>
      <c r="J23" s="122">
        <v>120</v>
      </c>
      <c r="K23" s="122">
        <v>105</v>
      </c>
      <c r="L23" s="20">
        <f t="shared" si="2"/>
        <v>34800</v>
      </c>
      <c r="M23" s="20">
        <f t="shared" si="3"/>
        <v>34800</v>
      </c>
      <c r="N23" s="20">
        <f t="shared" si="4"/>
        <v>30450</v>
      </c>
      <c r="O23" s="21">
        <f t="shared" si="5"/>
        <v>115</v>
      </c>
      <c r="P23" s="21">
        <f t="shared" ref="P23" si="18">STDEV(I23:K23)</f>
        <v>8.6602540378443873</v>
      </c>
      <c r="Q23" s="22">
        <f t="shared" ref="Q23" si="19">P23/O23*100</f>
        <v>7.5306556850820758</v>
      </c>
      <c r="R23" s="23">
        <f t="shared" si="1"/>
        <v>115</v>
      </c>
      <c r="S23" s="23">
        <f t="shared" ref="S23:T23" si="20">R23</f>
        <v>115</v>
      </c>
      <c r="T23" s="21">
        <f t="shared" si="20"/>
        <v>115</v>
      </c>
      <c r="U23" s="21">
        <f t="shared" si="9"/>
        <v>33350</v>
      </c>
    </row>
    <row r="24" spans="1:21" ht="24" customHeight="1" x14ac:dyDescent="0.25">
      <c r="A24" s="52">
        <v>9</v>
      </c>
      <c r="B24" s="104" t="s">
        <v>26</v>
      </c>
      <c r="C24" s="56" t="s">
        <v>25</v>
      </c>
      <c r="D24" s="43">
        <v>20</v>
      </c>
      <c r="E24" s="43">
        <v>30</v>
      </c>
      <c r="F24" s="43">
        <v>95</v>
      </c>
      <c r="G24" s="43">
        <v>145</v>
      </c>
      <c r="H24" s="57">
        <f t="shared" si="0"/>
        <v>290</v>
      </c>
      <c r="I24" s="122">
        <v>100</v>
      </c>
      <c r="J24" s="122">
        <v>250</v>
      </c>
      <c r="K24" s="122">
        <v>165</v>
      </c>
      <c r="L24" s="20">
        <f t="shared" si="2"/>
        <v>29000</v>
      </c>
      <c r="M24" s="20">
        <f t="shared" si="3"/>
        <v>72500</v>
      </c>
      <c r="N24" s="20">
        <f t="shared" si="4"/>
        <v>47850</v>
      </c>
      <c r="O24" s="21">
        <f t="shared" si="5"/>
        <v>171.66666666666666</v>
      </c>
      <c r="P24" s="21">
        <f t="shared" si="6"/>
        <v>75.221893975978404</v>
      </c>
      <c r="Q24" s="22">
        <f t="shared" si="7"/>
        <v>43.818579015133054</v>
      </c>
      <c r="R24" s="23">
        <f t="shared" si="1"/>
        <v>171.66666666666669</v>
      </c>
      <c r="S24" s="23">
        <f t="shared" ref="S24:T24" si="21">R24</f>
        <v>171.66666666666669</v>
      </c>
      <c r="T24" s="21">
        <f t="shared" si="21"/>
        <v>171.66666666666669</v>
      </c>
      <c r="U24" s="21">
        <f t="shared" si="9"/>
        <v>49783.333333333328</v>
      </c>
    </row>
    <row r="25" spans="1:21" ht="24" customHeight="1" x14ac:dyDescent="0.25">
      <c r="A25" s="52">
        <v>10</v>
      </c>
      <c r="B25" s="104" t="s">
        <v>42</v>
      </c>
      <c r="C25" s="56" t="s">
        <v>25</v>
      </c>
      <c r="D25" s="43">
        <v>20</v>
      </c>
      <c r="E25" s="43">
        <v>30</v>
      </c>
      <c r="F25" s="43">
        <v>95</v>
      </c>
      <c r="G25" s="43">
        <v>145</v>
      </c>
      <c r="H25" s="57">
        <f t="shared" si="0"/>
        <v>290</v>
      </c>
      <c r="I25" s="122">
        <v>95</v>
      </c>
      <c r="J25" s="122">
        <v>150</v>
      </c>
      <c r="K25" s="122">
        <v>105</v>
      </c>
      <c r="L25" s="20">
        <f t="shared" si="2"/>
        <v>27550</v>
      </c>
      <c r="M25" s="20">
        <f t="shared" si="3"/>
        <v>43500</v>
      </c>
      <c r="N25" s="20">
        <f t="shared" si="4"/>
        <v>30450</v>
      </c>
      <c r="O25" s="21">
        <f t="shared" si="5"/>
        <v>116.66666666666667</v>
      </c>
      <c r="P25" s="21">
        <f>STDEV(I25:K25)</f>
        <v>29.297326385411555</v>
      </c>
      <c r="Q25" s="22">
        <f t="shared" ref="Q25" si="22">P25/O25*100</f>
        <v>25.111994044638475</v>
      </c>
      <c r="R25" s="23">
        <f t="shared" si="1"/>
        <v>116.66666666666667</v>
      </c>
      <c r="S25" s="23">
        <f t="shared" ref="S25:T25" si="23">R25</f>
        <v>116.66666666666667</v>
      </c>
      <c r="T25" s="21">
        <f t="shared" si="23"/>
        <v>116.66666666666667</v>
      </c>
      <c r="U25" s="21">
        <f t="shared" si="9"/>
        <v>33833.333333333336</v>
      </c>
    </row>
    <row r="26" spans="1:21" ht="46.5" customHeight="1" x14ac:dyDescent="0.25">
      <c r="A26" s="52">
        <v>11</v>
      </c>
      <c r="B26" s="104" t="s">
        <v>50</v>
      </c>
      <c r="C26" s="56" t="s">
        <v>25</v>
      </c>
      <c r="D26" s="43">
        <v>0</v>
      </c>
      <c r="E26" s="43">
        <v>30</v>
      </c>
      <c r="F26" s="43">
        <v>0</v>
      </c>
      <c r="G26" s="43">
        <v>145</v>
      </c>
      <c r="H26" s="57">
        <f t="shared" si="0"/>
        <v>175</v>
      </c>
      <c r="I26" s="122">
        <v>100</v>
      </c>
      <c r="J26" s="122">
        <v>120</v>
      </c>
      <c r="K26" s="122">
        <v>105</v>
      </c>
      <c r="L26" s="20">
        <f t="shared" si="2"/>
        <v>17500</v>
      </c>
      <c r="M26" s="20">
        <f t="shared" si="3"/>
        <v>21000</v>
      </c>
      <c r="N26" s="20">
        <f t="shared" si="4"/>
        <v>18375</v>
      </c>
      <c r="O26" s="21">
        <f t="shared" si="5"/>
        <v>108.33333333333333</v>
      </c>
      <c r="P26" s="21">
        <f t="shared" si="6"/>
        <v>10.408329997330664</v>
      </c>
      <c r="Q26" s="22">
        <f t="shared" si="7"/>
        <v>9.6076892283052295</v>
      </c>
      <c r="R26" s="23">
        <f>H26/3*(I26+J26+K26)/175</f>
        <v>108.33333333333334</v>
      </c>
      <c r="S26" s="23">
        <f t="shared" ref="S26:T26" si="24">R26</f>
        <v>108.33333333333334</v>
      </c>
      <c r="T26" s="21">
        <f t="shared" si="24"/>
        <v>108.33333333333334</v>
      </c>
      <c r="U26" s="21">
        <f t="shared" si="9"/>
        <v>18958.333333333332</v>
      </c>
    </row>
    <row r="27" spans="1:21" ht="24" customHeight="1" x14ac:dyDescent="0.25">
      <c r="A27" s="52">
        <v>12</v>
      </c>
      <c r="B27" s="104" t="s">
        <v>47</v>
      </c>
      <c r="C27" s="56" t="s">
        <v>25</v>
      </c>
      <c r="D27" s="43">
        <v>20</v>
      </c>
      <c r="E27" s="43">
        <v>30</v>
      </c>
      <c r="F27" s="43">
        <v>95</v>
      </c>
      <c r="G27" s="43">
        <v>145</v>
      </c>
      <c r="H27" s="57">
        <f t="shared" si="0"/>
        <v>290</v>
      </c>
      <c r="I27" s="122">
        <v>95</v>
      </c>
      <c r="J27" s="122">
        <v>150</v>
      </c>
      <c r="K27" s="122">
        <v>105</v>
      </c>
      <c r="L27" s="20">
        <f t="shared" si="2"/>
        <v>27550</v>
      </c>
      <c r="M27" s="20">
        <f t="shared" si="3"/>
        <v>43500</v>
      </c>
      <c r="N27" s="20">
        <f t="shared" si="4"/>
        <v>30450</v>
      </c>
      <c r="O27" s="21">
        <f t="shared" si="5"/>
        <v>116.66666666666667</v>
      </c>
      <c r="P27" s="21">
        <f t="shared" si="6"/>
        <v>29.297326385411555</v>
      </c>
      <c r="Q27" s="22">
        <f t="shared" si="7"/>
        <v>25.111994044638475</v>
      </c>
      <c r="R27" s="23">
        <f t="shared" si="1"/>
        <v>116.66666666666667</v>
      </c>
      <c r="S27" s="23">
        <f t="shared" ref="S27:T27" si="25">R27</f>
        <v>116.66666666666667</v>
      </c>
      <c r="T27" s="21">
        <f t="shared" si="25"/>
        <v>116.66666666666667</v>
      </c>
      <c r="U27" s="21">
        <f t="shared" si="9"/>
        <v>33833.333333333336</v>
      </c>
    </row>
    <row r="28" spans="1:21" ht="24" customHeight="1" x14ac:dyDescent="0.25">
      <c r="A28" s="108">
        <v>13</v>
      </c>
      <c r="B28" s="104" t="s">
        <v>89</v>
      </c>
      <c r="C28" s="56" t="s">
        <v>25</v>
      </c>
      <c r="D28" s="43">
        <v>20</v>
      </c>
      <c r="E28" s="43">
        <v>30</v>
      </c>
      <c r="F28" s="43">
        <v>95</v>
      </c>
      <c r="G28" s="43">
        <v>145</v>
      </c>
      <c r="H28" s="57">
        <f t="shared" si="0"/>
        <v>290</v>
      </c>
      <c r="I28" s="111">
        <v>95</v>
      </c>
      <c r="J28" s="122">
        <v>120</v>
      </c>
      <c r="K28" s="111">
        <v>140</v>
      </c>
      <c r="L28" s="20">
        <f t="shared" ref="L28" si="26">I28*H28</f>
        <v>27550</v>
      </c>
      <c r="M28" s="20">
        <f t="shared" ref="M28" si="27">J28*H28</f>
        <v>34800</v>
      </c>
      <c r="N28" s="20">
        <f t="shared" ref="N28" si="28">K28*H28</f>
        <v>40600</v>
      </c>
      <c r="O28" s="21">
        <f t="shared" si="5"/>
        <v>118.33333333333333</v>
      </c>
      <c r="P28" s="21">
        <f t="shared" ref="P28" si="29">STDEV(I28:K28)</f>
        <v>22.546248764114445</v>
      </c>
      <c r="Q28" s="22">
        <f t="shared" ref="Q28" si="30">P28/O28*100</f>
        <v>19.053167969674178</v>
      </c>
      <c r="R28" s="23">
        <f t="shared" si="1"/>
        <v>118.33333333333336</v>
      </c>
      <c r="S28" s="23">
        <f t="shared" ref="S28" si="31">R28</f>
        <v>118.33333333333336</v>
      </c>
      <c r="T28" s="21">
        <f t="shared" ref="T28" si="32">S28</f>
        <v>118.33333333333336</v>
      </c>
      <c r="U28" s="21">
        <f t="shared" ref="U28" si="33">O28*H28</f>
        <v>34316.666666666664</v>
      </c>
    </row>
    <row r="29" spans="1:21" s="32" customFormat="1" ht="24" hidden="1" customHeight="1" x14ac:dyDescent="0.25">
      <c r="B29" s="104" t="s">
        <v>104</v>
      </c>
      <c r="C29" s="56" t="s">
        <v>25</v>
      </c>
      <c r="D29" s="43">
        <v>20</v>
      </c>
      <c r="E29" s="43">
        <v>30</v>
      </c>
      <c r="F29" s="43">
        <v>0</v>
      </c>
      <c r="G29" s="43">
        <v>0</v>
      </c>
      <c r="H29" s="57">
        <f t="shared" si="0"/>
        <v>50</v>
      </c>
      <c r="I29" s="117"/>
      <c r="J29" s="122"/>
      <c r="K29" s="122"/>
      <c r="L29" s="139"/>
      <c r="M29" s="139"/>
      <c r="N29" s="139"/>
      <c r="O29" s="140"/>
      <c r="P29" s="140"/>
      <c r="Q29" s="141"/>
      <c r="R29" s="142"/>
      <c r="S29" s="142"/>
      <c r="T29" s="140"/>
      <c r="U29" s="140"/>
    </row>
    <row r="30" spans="1:21" ht="22.5" customHeight="1" x14ac:dyDescent="0.25">
      <c r="A30" s="108">
        <v>14</v>
      </c>
      <c r="B30" s="104" t="s">
        <v>43</v>
      </c>
      <c r="C30" s="56" t="s">
        <v>25</v>
      </c>
      <c r="D30" s="43">
        <v>20</v>
      </c>
      <c r="E30" s="43">
        <v>30</v>
      </c>
      <c r="F30" s="43">
        <v>95</v>
      </c>
      <c r="G30" s="43">
        <v>145</v>
      </c>
      <c r="H30" s="57">
        <f t="shared" si="0"/>
        <v>290</v>
      </c>
      <c r="I30" s="122">
        <v>95</v>
      </c>
      <c r="J30" s="122">
        <v>150</v>
      </c>
      <c r="K30" s="122">
        <v>105</v>
      </c>
      <c r="L30" s="20">
        <f t="shared" si="2"/>
        <v>27550</v>
      </c>
      <c r="M30" s="20">
        <f t="shared" si="3"/>
        <v>43500</v>
      </c>
      <c r="N30" s="20">
        <f t="shared" si="4"/>
        <v>30450</v>
      </c>
      <c r="O30" s="21">
        <f t="shared" si="5"/>
        <v>116.66666666666667</v>
      </c>
      <c r="P30" s="21">
        <f t="shared" si="6"/>
        <v>29.297326385411555</v>
      </c>
      <c r="Q30" s="22">
        <f t="shared" si="7"/>
        <v>25.111994044638475</v>
      </c>
      <c r="R30" s="23">
        <f t="shared" si="1"/>
        <v>116.66666666666667</v>
      </c>
      <c r="S30" s="23">
        <f t="shared" ref="S30:T30" si="34">R30</f>
        <v>116.66666666666667</v>
      </c>
      <c r="T30" s="21">
        <f t="shared" si="34"/>
        <v>116.66666666666667</v>
      </c>
      <c r="U30" s="21">
        <f t="shared" si="9"/>
        <v>33833.333333333336</v>
      </c>
    </row>
    <row r="31" spans="1:21" ht="24" customHeight="1" x14ac:dyDescent="0.25">
      <c r="A31" s="108">
        <v>15</v>
      </c>
      <c r="B31" s="104" t="s">
        <v>44</v>
      </c>
      <c r="C31" s="56" t="s">
        <v>25</v>
      </c>
      <c r="D31" s="43">
        <v>0</v>
      </c>
      <c r="E31" s="43">
        <v>0</v>
      </c>
      <c r="F31" s="43">
        <v>95</v>
      </c>
      <c r="G31" s="43">
        <v>145</v>
      </c>
      <c r="H31" s="57">
        <f t="shared" si="0"/>
        <v>240</v>
      </c>
      <c r="I31" s="117">
        <v>95</v>
      </c>
      <c r="J31" s="122">
        <v>180</v>
      </c>
      <c r="K31" s="122">
        <v>170</v>
      </c>
      <c r="L31" s="20">
        <f t="shared" si="2"/>
        <v>22800</v>
      </c>
      <c r="M31" s="20">
        <f t="shared" si="3"/>
        <v>43200</v>
      </c>
      <c r="N31" s="20">
        <f t="shared" si="4"/>
        <v>40800</v>
      </c>
      <c r="O31" s="21">
        <f t="shared" si="5"/>
        <v>148.33333333333334</v>
      </c>
      <c r="P31" s="21">
        <f t="shared" si="6"/>
        <v>46.457866215887876</v>
      </c>
      <c r="Q31" s="22">
        <f t="shared" si="7"/>
        <v>31.319909808463738</v>
      </c>
      <c r="R31" s="23">
        <f>H31/3*(I31+J31+K31)/240</f>
        <v>148.33333333333334</v>
      </c>
      <c r="S31" s="23">
        <f t="shared" ref="S31:T31" si="35">R31</f>
        <v>148.33333333333334</v>
      </c>
      <c r="T31" s="21">
        <f t="shared" si="35"/>
        <v>148.33333333333334</v>
      </c>
      <c r="U31" s="21">
        <f>O31*H31</f>
        <v>35600</v>
      </c>
    </row>
    <row r="32" spans="1:21" ht="24" customHeight="1" x14ac:dyDescent="0.25">
      <c r="A32" s="108">
        <v>16</v>
      </c>
      <c r="B32" s="104" t="s">
        <v>80</v>
      </c>
      <c r="C32" s="56" t="s">
        <v>25</v>
      </c>
      <c r="D32" s="43">
        <v>0</v>
      </c>
      <c r="E32" s="43">
        <v>0</v>
      </c>
      <c r="F32" s="43">
        <v>95</v>
      </c>
      <c r="G32" s="43">
        <v>145</v>
      </c>
      <c r="H32" s="57">
        <f t="shared" si="0"/>
        <v>240</v>
      </c>
      <c r="I32" s="122">
        <f>200+15</f>
        <v>215</v>
      </c>
      <c r="J32" s="122">
        <v>180</v>
      </c>
      <c r="K32" s="122">
        <v>160</v>
      </c>
      <c r="L32" s="20">
        <f t="shared" si="2"/>
        <v>51600</v>
      </c>
      <c r="M32" s="20">
        <f t="shared" si="3"/>
        <v>43200</v>
      </c>
      <c r="N32" s="20">
        <f t="shared" si="4"/>
        <v>38400</v>
      </c>
      <c r="O32" s="21">
        <f t="shared" si="5"/>
        <v>185</v>
      </c>
      <c r="P32" s="21">
        <f t="shared" si="6"/>
        <v>27.838821814150108</v>
      </c>
      <c r="Q32" s="22">
        <f t="shared" si="7"/>
        <v>15.048011791432492</v>
      </c>
      <c r="R32" s="23">
        <f>H32/3*(I32+J32+K32)/240</f>
        <v>185</v>
      </c>
      <c r="S32" s="23">
        <f t="shared" ref="S32:T32" si="36">R32</f>
        <v>185</v>
      </c>
      <c r="T32" s="21">
        <f t="shared" si="36"/>
        <v>185</v>
      </c>
      <c r="U32" s="21">
        <f>O32*H32</f>
        <v>44400</v>
      </c>
    </row>
    <row r="33" spans="1:26" ht="33" customHeight="1" x14ac:dyDescent="0.25">
      <c r="A33" s="108">
        <v>17</v>
      </c>
      <c r="B33" s="104" t="s">
        <v>87</v>
      </c>
      <c r="C33" s="56" t="s">
        <v>25</v>
      </c>
      <c r="D33" s="43">
        <v>0</v>
      </c>
      <c r="E33" s="43">
        <v>0</v>
      </c>
      <c r="F33" s="43">
        <v>95</v>
      </c>
      <c r="G33" s="43">
        <v>145</v>
      </c>
      <c r="H33" s="57">
        <f t="shared" si="0"/>
        <v>240</v>
      </c>
      <c r="I33" s="132">
        <v>150</v>
      </c>
      <c r="J33" s="122">
        <v>120</v>
      </c>
      <c r="K33" s="122">
        <v>100</v>
      </c>
      <c r="L33" s="20">
        <f t="shared" si="2"/>
        <v>36000</v>
      </c>
      <c r="M33" s="20">
        <f t="shared" si="3"/>
        <v>28800</v>
      </c>
      <c r="N33" s="20">
        <v>0</v>
      </c>
      <c r="O33" s="21">
        <f>AVERAGE(I33:K33)</f>
        <v>123.33333333333333</v>
      </c>
      <c r="P33" s="21">
        <f>STDEV(I33:K33)</f>
        <v>25.166114784235809</v>
      </c>
      <c r="Q33" s="22">
        <f>P33/O33*100</f>
        <v>20.40495793316417</v>
      </c>
      <c r="R33" s="23">
        <f>H33/3*(I33+J33+K33)/240</f>
        <v>123.33333333333333</v>
      </c>
      <c r="S33" s="23">
        <f t="shared" ref="S33" si="37">R33</f>
        <v>123.33333333333333</v>
      </c>
      <c r="T33" s="21">
        <f t="shared" ref="T33" si="38">S33</f>
        <v>123.33333333333333</v>
      </c>
      <c r="U33" s="21">
        <f>O33*H33</f>
        <v>29600</v>
      </c>
    </row>
    <row r="34" spans="1:26" ht="24" customHeight="1" x14ac:dyDescent="0.25">
      <c r="A34" s="108">
        <v>18</v>
      </c>
      <c r="B34" s="104" t="s">
        <v>48</v>
      </c>
      <c r="C34" s="56" t="s">
        <v>25</v>
      </c>
      <c r="D34" s="43">
        <v>0</v>
      </c>
      <c r="E34" s="43">
        <v>0</v>
      </c>
      <c r="F34" s="43">
        <v>0</v>
      </c>
      <c r="G34" s="43">
        <v>145</v>
      </c>
      <c r="H34" s="57">
        <f t="shared" si="0"/>
        <v>145</v>
      </c>
      <c r="I34" s="123">
        <v>350</v>
      </c>
      <c r="J34" s="123">
        <v>1000</v>
      </c>
      <c r="K34" s="117">
        <v>650</v>
      </c>
      <c r="L34" s="20">
        <f t="shared" si="2"/>
        <v>50750</v>
      </c>
      <c r="M34" s="20">
        <f t="shared" si="3"/>
        <v>145000</v>
      </c>
      <c r="N34" s="20">
        <f t="shared" si="4"/>
        <v>94250</v>
      </c>
      <c r="O34" s="21">
        <f t="shared" si="5"/>
        <v>666.66666666666663</v>
      </c>
      <c r="P34" s="21">
        <f t="shared" si="6"/>
        <v>325.32035493238567</v>
      </c>
      <c r="Q34" s="22">
        <f t="shared" si="7"/>
        <v>48.79805323985785</v>
      </c>
      <c r="R34" s="23">
        <f>H34/3*(I34+J34+K34)/145</f>
        <v>666.66666666666674</v>
      </c>
      <c r="S34" s="23">
        <f t="shared" ref="S34:T34" si="39">R34</f>
        <v>666.66666666666674</v>
      </c>
      <c r="T34" s="21">
        <f t="shared" si="39"/>
        <v>666.66666666666674</v>
      </c>
      <c r="U34" s="21">
        <f t="shared" si="9"/>
        <v>96666.666666666657</v>
      </c>
    </row>
    <row r="35" spans="1:26" ht="24" customHeight="1" x14ac:dyDescent="0.25">
      <c r="A35" s="108">
        <v>19</v>
      </c>
      <c r="B35" s="104" t="s">
        <v>85</v>
      </c>
      <c r="C35" s="56" t="s">
        <v>25</v>
      </c>
      <c r="D35" s="43">
        <v>20</v>
      </c>
      <c r="E35" s="43">
        <v>30</v>
      </c>
      <c r="F35" s="43">
        <v>95</v>
      </c>
      <c r="G35" s="43">
        <v>145</v>
      </c>
      <c r="H35" s="57">
        <f t="shared" si="0"/>
        <v>290</v>
      </c>
      <c r="I35" s="117">
        <v>100</v>
      </c>
      <c r="J35" s="117">
        <v>240</v>
      </c>
      <c r="K35" s="117">
        <v>230</v>
      </c>
      <c r="L35" s="20">
        <f t="shared" si="2"/>
        <v>29000</v>
      </c>
      <c r="M35" s="20">
        <f t="shared" si="3"/>
        <v>69600</v>
      </c>
      <c r="N35" s="20">
        <f t="shared" si="4"/>
        <v>66700</v>
      </c>
      <c r="O35" s="21">
        <f t="shared" si="5"/>
        <v>190</v>
      </c>
      <c r="P35" s="21">
        <f t="shared" si="6"/>
        <v>78.10249675906654</v>
      </c>
      <c r="Q35" s="22">
        <f t="shared" si="7"/>
        <v>41.106577241613969</v>
      </c>
      <c r="R35" s="23">
        <f t="shared" si="1"/>
        <v>190</v>
      </c>
      <c r="S35" s="23">
        <f t="shared" ref="S35:T35" si="40">R35</f>
        <v>190</v>
      </c>
      <c r="T35" s="21">
        <f t="shared" si="40"/>
        <v>190</v>
      </c>
      <c r="U35" s="21">
        <f t="shared" si="9"/>
        <v>55100</v>
      </c>
    </row>
    <row r="36" spans="1:26" ht="24" customHeight="1" x14ac:dyDescent="0.25">
      <c r="A36" s="108">
        <v>20</v>
      </c>
      <c r="B36" s="104" t="s">
        <v>45</v>
      </c>
      <c r="C36" s="56" t="s">
        <v>25</v>
      </c>
      <c r="D36" s="43">
        <v>20</v>
      </c>
      <c r="E36" s="43">
        <v>30</v>
      </c>
      <c r="F36" s="43">
        <v>95</v>
      </c>
      <c r="G36" s="43">
        <v>145</v>
      </c>
      <c r="H36" s="57">
        <f t="shared" si="0"/>
        <v>290</v>
      </c>
      <c r="I36" s="117">
        <v>95</v>
      </c>
      <c r="J36" s="117">
        <v>150</v>
      </c>
      <c r="K36" s="117">
        <v>140</v>
      </c>
      <c r="L36" s="20">
        <f t="shared" si="2"/>
        <v>27550</v>
      </c>
      <c r="M36" s="20">
        <f t="shared" si="3"/>
        <v>43500</v>
      </c>
      <c r="N36" s="20">
        <f t="shared" si="4"/>
        <v>40600</v>
      </c>
      <c r="O36" s="21">
        <f t="shared" si="5"/>
        <v>128.33333333333334</v>
      </c>
      <c r="P36" s="21">
        <f t="shared" si="6"/>
        <v>29.297326385411555</v>
      </c>
      <c r="Q36" s="22">
        <f t="shared" ref="Q36" si="41">P36/O36*100</f>
        <v>22.829085495125888</v>
      </c>
      <c r="R36" s="23">
        <f t="shared" si="1"/>
        <v>128.33333333333334</v>
      </c>
      <c r="S36" s="23">
        <f t="shared" ref="S36" si="42">R36</f>
        <v>128.33333333333334</v>
      </c>
      <c r="T36" s="21">
        <f t="shared" ref="T36" si="43">S36</f>
        <v>128.33333333333334</v>
      </c>
      <c r="U36" s="21">
        <f t="shared" ref="U36" si="44">O36*H36</f>
        <v>37216.666666666672</v>
      </c>
    </row>
    <row r="37" spans="1:26" ht="24" customHeight="1" x14ac:dyDescent="0.25">
      <c r="A37" s="108">
        <v>21</v>
      </c>
      <c r="B37" s="104" t="s">
        <v>84</v>
      </c>
      <c r="C37" s="56" t="s">
        <v>25</v>
      </c>
      <c r="D37" s="43">
        <v>20</v>
      </c>
      <c r="E37" s="43">
        <v>30</v>
      </c>
      <c r="F37" s="43">
        <v>95</v>
      </c>
      <c r="G37" s="43">
        <v>145</v>
      </c>
      <c r="H37" s="57">
        <f t="shared" si="0"/>
        <v>290</v>
      </c>
      <c r="I37" s="122">
        <v>100</v>
      </c>
      <c r="J37" s="122">
        <v>150</v>
      </c>
      <c r="K37" s="122">
        <v>170</v>
      </c>
      <c r="L37" s="20">
        <f t="shared" si="2"/>
        <v>29000</v>
      </c>
      <c r="M37" s="20">
        <f t="shared" si="3"/>
        <v>43500</v>
      </c>
      <c r="N37" s="20">
        <f t="shared" si="4"/>
        <v>49300</v>
      </c>
      <c r="O37" s="21">
        <f t="shared" si="5"/>
        <v>140</v>
      </c>
      <c r="P37" s="21">
        <f t="shared" si="6"/>
        <v>36.055512754639892</v>
      </c>
      <c r="Q37" s="22">
        <f t="shared" si="7"/>
        <v>25.753937681885635</v>
      </c>
      <c r="R37" s="23">
        <f t="shared" si="1"/>
        <v>140</v>
      </c>
      <c r="S37" s="23">
        <f t="shared" ref="S37:T37" si="45">R37</f>
        <v>140</v>
      </c>
      <c r="T37" s="21">
        <f t="shared" si="45"/>
        <v>140</v>
      </c>
      <c r="U37" s="21">
        <f>O37*H37</f>
        <v>40600</v>
      </c>
    </row>
    <row r="38" spans="1:26" ht="27" customHeight="1" x14ac:dyDescent="0.25">
      <c r="A38" s="108">
        <v>22</v>
      </c>
      <c r="B38" s="105" t="s">
        <v>46</v>
      </c>
      <c r="C38" s="79" t="s">
        <v>25</v>
      </c>
      <c r="D38" s="80">
        <v>0</v>
      </c>
      <c r="E38" s="80">
        <v>0</v>
      </c>
      <c r="F38" s="43">
        <v>95</v>
      </c>
      <c r="G38" s="43">
        <v>145</v>
      </c>
      <c r="H38" s="81">
        <f t="shared" si="0"/>
        <v>240</v>
      </c>
      <c r="I38" s="124">
        <v>350</v>
      </c>
      <c r="J38" s="124">
        <v>1300</v>
      </c>
      <c r="K38" s="124">
        <v>800</v>
      </c>
      <c r="L38" s="20">
        <f t="shared" si="2"/>
        <v>84000</v>
      </c>
      <c r="M38" s="20">
        <f t="shared" si="3"/>
        <v>312000</v>
      </c>
      <c r="N38" s="20">
        <f t="shared" si="4"/>
        <v>192000</v>
      </c>
      <c r="O38" s="21">
        <f t="shared" si="5"/>
        <v>816.66666666666663</v>
      </c>
      <c r="P38" s="21">
        <f t="shared" si="6"/>
        <v>475.2192476461085</v>
      </c>
      <c r="Q38" s="22">
        <f t="shared" si="7"/>
        <v>58.190111956666343</v>
      </c>
      <c r="R38" s="23">
        <f>H38/3*(I38+J38+K38)/240</f>
        <v>816.66666666666663</v>
      </c>
      <c r="S38" s="23">
        <f t="shared" ref="S38:T38" si="46">R38</f>
        <v>816.66666666666663</v>
      </c>
      <c r="T38" s="21">
        <f t="shared" si="46"/>
        <v>816.66666666666663</v>
      </c>
      <c r="U38" s="21">
        <f>O38*H38</f>
        <v>196000</v>
      </c>
    </row>
    <row r="39" spans="1:26" ht="47.25" customHeight="1" x14ac:dyDescent="0.25">
      <c r="A39" s="108">
        <v>23</v>
      </c>
      <c r="B39" s="104" t="s">
        <v>71</v>
      </c>
      <c r="C39" s="109" t="s">
        <v>25</v>
      </c>
      <c r="D39" s="63">
        <v>5</v>
      </c>
      <c r="E39" s="63">
        <v>10</v>
      </c>
      <c r="F39" s="63">
        <v>25</v>
      </c>
      <c r="G39" s="63">
        <v>15</v>
      </c>
      <c r="H39" s="57">
        <f>D39+E39+F39+G39</f>
        <v>55</v>
      </c>
      <c r="I39" s="111">
        <f>200+200</f>
        <v>400</v>
      </c>
      <c r="J39" s="122">
        <f>380+250</f>
        <v>630</v>
      </c>
      <c r="K39" s="111">
        <f>320+280</f>
        <v>600</v>
      </c>
      <c r="L39" s="20">
        <f t="shared" si="2"/>
        <v>22000</v>
      </c>
      <c r="M39" s="20">
        <f>J39*H39</f>
        <v>34650</v>
      </c>
      <c r="N39" s="20">
        <f>K39*H39</f>
        <v>33000</v>
      </c>
      <c r="O39" s="21">
        <f t="shared" si="5"/>
        <v>543.33333333333337</v>
      </c>
      <c r="P39" s="21">
        <f t="shared" ref="P39" si="47">STDEV(I39:K39)</f>
        <v>125.03332889007361</v>
      </c>
      <c r="Q39" s="22">
        <f t="shared" ref="Q39" si="48">P39/O39*100</f>
        <v>23.012269120872443</v>
      </c>
      <c r="R39" s="23">
        <f>H39/3*(I39+J39+K39)/55</f>
        <v>543.33333333333326</v>
      </c>
      <c r="S39" s="23">
        <f t="shared" ref="S39" si="49">R39</f>
        <v>543.33333333333326</v>
      </c>
      <c r="T39" s="21">
        <f t="shared" ref="T39" si="50">S39</f>
        <v>543.33333333333326</v>
      </c>
      <c r="U39" s="21">
        <f>O39*H39</f>
        <v>29883.333333333336</v>
      </c>
      <c r="X39" s="8"/>
      <c r="Y39" s="8"/>
    </row>
    <row r="40" spans="1:26" s="32" customFormat="1" ht="32.25" customHeight="1" x14ac:dyDescent="0.25">
      <c r="A40" s="108">
        <v>24</v>
      </c>
      <c r="B40" s="104" t="s">
        <v>102</v>
      </c>
      <c r="C40" s="109" t="s">
        <v>25</v>
      </c>
      <c r="D40" s="63">
        <v>5</v>
      </c>
      <c r="E40" s="63">
        <v>10</v>
      </c>
      <c r="F40" s="63">
        <v>25</v>
      </c>
      <c r="G40" s="63">
        <v>15</v>
      </c>
      <c r="H40" s="57">
        <f t="shared" si="0"/>
        <v>55</v>
      </c>
      <c r="I40" s="166" t="s">
        <v>91</v>
      </c>
      <c r="J40" s="167"/>
      <c r="K40" s="168"/>
      <c r="L40" s="20">
        <v>0</v>
      </c>
      <c r="M40" s="20">
        <f t="shared" si="3"/>
        <v>0</v>
      </c>
      <c r="N40" s="20">
        <f t="shared" si="4"/>
        <v>0</v>
      </c>
      <c r="O40" s="21">
        <v>0</v>
      </c>
      <c r="P40" s="21">
        <v>0</v>
      </c>
      <c r="Q40" s="22">
        <v>0</v>
      </c>
      <c r="R40" s="22">
        <v>0</v>
      </c>
      <c r="S40" s="23">
        <f t="shared" ref="S40:T40" si="51">R40</f>
        <v>0</v>
      </c>
      <c r="T40" s="21">
        <f t="shared" si="51"/>
        <v>0</v>
      </c>
      <c r="U40" s="21">
        <f>O40*H40</f>
        <v>0</v>
      </c>
      <c r="W40" s="1"/>
      <c r="X40" s="69"/>
      <c r="Y40" s="69"/>
    </row>
    <row r="41" spans="1:26" s="32" customFormat="1" ht="24.75" customHeight="1" x14ac:dyDescent="0.25">
      <c r="A41" s="108">
        <v>25</v>
      </c>
      <c r="B41" s="106" t="s">
        <v>77</v>
      </c>
      <c r="C41" s="83" t="s">
        <v>25</v>
      </c>
      <c r="D41" s="84">
        <v>0</v>
      </c>
      <c r="E41" s="84">
        <v>0</v>
      </c>
      <c r="F41" s="84">
        <v>0</v>
      </c>
      <c r="G41" s="84">
        <v>0</v>
      </c>
      <c r="H41" s="85" t="s">
        <v>69</v>
      </c>
      <c r="I41" s="120">
        <v>0</v>
      </c>
      <c r="J41" s="120">
        <v>0</v>
      </c>
      <c r="K41" s="120">
        <v>0</v>
      </c>
      <c r="L41" s="20">
        <v>0</v>
      </c>
      <c r="M41" s="20">
        <v>0</v>
      </c>
      <c r="N41" s="20">
        <v>0</v>
      </c>
      <c r="O41" s="21">
        <v>0</v>
      </c>
      <c r="P41" s="21">
        <v>0</v>
      </c>
      <c r="Q41" s="22">
        <v>0</v>
      </c>
      <c r="R41" s="22">
        <v>0</v>
      </c>
      <c r="S41" s="23">
        <f t="shared" ref="S41:T41" si="52">R41</f>
        <v>0</v>
      </c>
      <c r="T41" s="21">
        <f t="shared" si="52"/>
        <v>0</v>
      </c>
      <c r="U41" s="21">
        <v>0</v>
      </c>
      <c r="W41" s="68"/>
      <c r="X41" s="69"/>
      <c r="Y41" s="69"/>
    </row>
    <row r="42" spans="1:26" ht="24" customHeight="1" x14ac:dyDescent="0.25">
      <c r="A42" s="2"/>
      <c r="B42" s="2" t="s">
        <v>16</v>
      </c>
      <c r="C42" s="2"/>
      <c r="D42" s="2"/>
      <c r="E42" s="2"/>
      <c r="F42" s="2"/>
      <c r="G42" s="2"/>
      <c r="H42" s="2"/>
      <c r="I42" s="120"/>
      <c r="J42" s="120"/>
      <c r="K42" s="120"/>
      <c r="L42" s="24">
        <f>SUM(L16:L41)</f>
        <v>780550</v>
      </c>
      <c r="M42" s="24">
        <f t="shared" ref="M42" si="53">SUM(M16:M41)</f>
        <v>1506550</v>
      </c>
      <c r="N42" s="24">
        <f>SUM(N16:N41)</f>
        <v>1034525</v>
      </c>
      <c r="O42" s="2"/>
      <c r="P42" s="9"/>
      <c r="Q42" s="9"/>
      <c r="R42" s="2"/>
      <c r="S42" s="2"/>
      <c r="T42" s="2"/>
      <c r="U42" s="70">
        <f>SUM(U16:U41)</f>
        <v>1115208.3333333333</v>
      </c>
      <c r="W42" s="8"/>
      <c r="X42" s="8"/>
      <c r="Y42" s="8"/>
      <c r="Z42" s="8"/>
    </row>
    <row r="43" spans="1:26" x14ac:dyDescent="0.25">
      <c r="A43" s="59"/>
      <c r="B43" s="59"/>
      <c r="C43" s="59"/>
      <c r="D43" s="59"/>
      <c r="E43" s="59"/>
      <c r="F43" s="59"/>
      <c r="G43" s="59"/>
      <c r="H43" s="59"/>
      <c r="I43" s="121"/>
      <c r="J43" s="121"/>
      <c r="K43" s="121"/>
      <c r="L43" s="64"/>
      <c r="M43" s="59"/>
      <c r="N43" s="59"/>
      <c r="O43" s="59"/>
      <c r="P43" s="65"/>
      <c r="Q43" s="65"/>
      <c r="R43" s="59"/>
      <c r="S43" s="59"/>
      <c r="T43" s="59"/>
      <c r="U43" s="66"/>
      <c r="W43" s="8"/>
      <c r="X43" s="8"/>
      <c r="Y43" s="8"/>
      <c r="Z43" s="8"/>
    </row>
    <row r="44" spans="1:26" s="32" customFormat="1" ht="15" customHeight="1" x14ac:dyDescent="0.25">
      <c r="A44" s="113"/>
      <c r="B44" s="59" t="s">
        <v>76</v>
      </c>
      <c r="C44" s="113"/>
      <c r="D44" s="113"/>
      <c r="E44" s="113"/>
      <c r="F44" s="54"/>
      <c r="G44" s="113"/>
      <c r="H44" s="113"/>
      <c r="I44" s="113"/>
      <c r="J44" s="113"/>
      <c r="K44" s="113"/>
      <c r="L44" s="113"/>
      <c r="M44" s="77"/>
      <c r="N44" s="77"/>
      <c r="O44" s="77"/>
      <c r="P44" s="113"/>
      <c r="Q44" s="113"/>
      <c r="R44" s="113"/>
      <c r="S44" s="78"/>
      <c r="T44" s="78"/>
      <c r="U44" s="78"/>
      <c r="V44" s="78"/>
      <c r="W44" s="78"/>
      <c r="X44" s="78"/>
      <c r="Y44" s="78"/>
    </row>
    <row r="45" spans="1:26" s="32" customFormat="1" ht="15" customHeight="1" x14ac:dyDescent="0.25">
      <c r="A45" s="113"/>
      <c r="B45" s="59" t="s">
        <v>75</v>
      </c>
      <c r="C45" s="113"/>
      <c r="D45" s="113"/>
      <c r="E45" s="113"/>
      <c r="F45" s="54"/>
      <c r="G45" s="113"/>
      <c r="H45" s="113"/>
      <c r="I45" s="113"/>
      <c r="J45" s="113"/>
      <c r="K45" s="113"/>
      <c r="L45" s="113"/>
      <c r="M45" s="77"/>
      <c r="N45" s="77"/>
      <c r="O45" s="77"/>
      <c r="P45" s="113"/>
      <c r="Q45" s="113"/>
      <c r="R45" s="113"/>
      <c r="S45" s="75"/>
      <c r="T45" s="75"/>
      <c r="U45" s="75"/>
      <c r="V45" s="75"/>
      <c r="W45" s="75"/>
      <c r="X45" s="75"/>
      <c r="Y45" s="75"/>
    </row>
    <row r="46" spans="1:26" s="32" customFormat="1" x14ac:dyDescent="0.25">
      <c r="B46" s="1" t="s">
        <v>73</v>
      </c>
      <c r="F46" s="72"/>
      <c r="M46" s="73"/>
      <c r="N46" s="73"/>
      <c r="O46" s="73"/>
      <c r="S46" s="103"/>
      <c r="T46" s="75"/>
      <c r="U46" s="75"/>
      <c r="V46" s="75"/>
      <c r="W46" s="75"/>
      <c r="X46" s="75"/>
      <c r="Y46" s="75"/>
    </row>
    <row r="47" spans="1:26" s="32" customFormat="1" x14ac:dyDescent="0.25">
      <c r="B47" s="59" t="s">
        <v>74</v>
      </c>
      <c r="F47" s="72"/>
      <c r="M47" s="73"/>
      <c r="N47" s="73"/>
      <c r="O47" s="73"/>
      <c r="S47" s="75"/>
      <c r="T47" s="75"/>
      <c r="U47" s="75"/>
      <c r="V47" s="75"/>
      <c r="W47" s="75"/>
      <c r="X47" s="75"/>
      <c r="Y47" s="75"/>
    </row>
    <row r="48" spans="1:26" s="32" customFormat="1" x14ac:dyDescent="0.25">
      <c r="B48" s="32" t="s">
        <v>93</v>
      </c>
      <c r="F48" s="72"/>
      <c r="M48" s="73"/>
      <c r="N48" s="73"/>
      <c r="O48" s="73"/>
      <c r="S48" s="95"/>
      <c r="T48" s="95"/>
      <c r="U48" s="95"/>
      <c r="V48" s="75"/>
      <c r="W48" s="75"/>
      <c r="X48" s="75"/>
      <c r="Y48" s="75"/>
    </row>
    <row r="49" spans="1:21" x14ac:dyDescent="0.25">
      <c r="B49" s="1"/>
      <c r="N49" s="1"/>
    </row>
    <row r="50" spans="1:21" x14ac:dyDescent="0.25">
      <c r="A50" s="1" t="s">
        <v>13</v>
      </c>
      <c r="B50" s="1"/>
      <c r="N50" s="67">
        <f>U42</f>
        <v>1115208.3333333333</v>
      </c>
      <c r="O50" s="32" t="s">
        <v>105</v>
      </c>
    </row>
    <row r="51" spans="1:21" x14ac:dyDescent="0.25">
      <c r="B51" s="1"/>
      <c r="N51" s="1"/>
    </row>
    <row r="52" spans="1:21" ht="18.75" x14ac:dyDescent="0.3">
      <c r="A52" s="7" t="s">
        <v>14</v>
      </c>
      <c r="B52" s="3"/>
      <c r="C52" s="3"/>
      <c r="D52" s="3"/>
      <c r="E52" s="3"/>
      <c r="F52" s="3"/>
      <c r="G52" s="3"/>
      <c r="H52" s="3"/>
      <c r="I52" s="125"/>
      <c r="J52" s="125"/>
      <c r="K52" s="125"/>
      <c r="L52" s="3"/>
      <c r="M52" s="3"/>
      <c r="N52" s="3"/>
      <c r="O52" s="3"/>
      <c r="P52" s="3"/>
    </row>
    <row r="53" spans="1:21" ht="13.5" customHeight="1" x14ac:dyDescent="0.25">
      <c r="B53" s="1"/>
      <c r="N53" s="1"/>
    </row>
    <row r="54" spans="1:21" hidden="1" x14ac:dyDescent="0.25">
      <c r="B54" s="1"/>
      <c r="N54" s="1"/>
    </row>
    <row r="55" spans="1:21" x14ac:dyDescent="0.25">
      <c r="B55" s="13" t="s">
        <v>23</v>
      </c>
      <c r="M55" s="10"/>
      <c r="O55" s="1" t="s">
        <v>22</v>
      </c>
      <c r="Q55" s="5"/>
    </row>
    <row r="56" spans="1:21" x14ac:dyDescent="0.25">
      <c r="B56" s="1"/>
      <c r="N56" s="1"/>
    </row>
    <row r="57" spans="1:21" x14ac:dyDescent="0.25">
      <c r="B57" s="1" t="s">
        <v>106</v>
      </c>
      <c r="N57" s="1"/>
    </row>
    <row r="58" spans="1:21" x14ac:dyDescent="0.25">
      <c r="B58" s="1"/>
      <c r="N58" s="1"/>
    </row>
    <row r="59" spans="1:21" x14ac:dyDescent="0.25">
      <c r="B59" s="1"/>
      <c r="N59" s="1"/>
    </row>
    <row r="60" spans="1:21" ht="15" customHeight="1" x14ac:dyDescent="0.25">
      <c r="A60" s="18"/>
      <c r="B60" s="14"/>
      <c r="C60" s="18"/>
      <c r="D60" s="19"/>
      <c r="E60" s="19"/>
      <c r="F60" s="19"/>
      <c r="G60" s="19"/>
      <c r="H60" s="18"/>
      <c r="I60" s="119"/>
      <c r="J60" s="119"/>
      <c r="K60" s="119"/>
      <c r="L60" s="18"/>
      <c r="M60" s="18"/>
      <c r="N60" s="18"/>
      <c r="O60" s="18"/>
      <c r="P60" s="18"/>
      <c r="Q60" s="18"/>
      <c r="R60" s="18"/>
      <c r="S60" s="18"/>
      <c r="T60" s="18"/>
      <c r="U60" s="18"/>
    </row>
    <row r="61" spans="1:21" ht="15" customHeight="1" x14ac:dyDescent="0.25">
      <c r="A61" s="18"/>
      <c r="B61" s="14"/>
      <c r="C61" s="18"/>
      <c r="D61" s="19"/>
      <c r="E61" s="19"/>
      <c r="F61" s="19"/>
      <c r="G61" s="19"/>
      <c r="H61" s="18"/>
      <c r="I61" s="119"/>
      <c r="J61" s="119"/>
      <c r="K61" s="119"/>
      <c r="L61" s="18"/>
      <c r="M61" s="18"/>
      <c r="N61" s="18"/>
      <c r="O61" s="18"/>
      <c r="P61" s="18"/>
      <c r="Q61" s="18"/>
      <c r="R61" s="18"/>
      <c r="S61" s="18"/>
      <c r="T61" s="18"/>
      <c r="U61" s="18"/>
    </row>
    <row r="62" spans="1:21" ht="15" customHeight="1" x14ac:dyDescent="0.25">
      <c r="A62" s="18"/>
      <c r="B62" s="14"/>
      <c r="C62" s="18"/>
      <c r="D62" s="19"/>
      <c r="E62" s="19"/>
      <c r="F62" s="19"/>
      <c r="G62" s="19"/>
      <c r="H62" s="18"/>
      <c r="I62" s="119"/>
      <c r="J62" s="119"/>
      <c r="K62" s="119"/>
      <c r="L62" s="18"/>
      <c r="M62" s="18"/>
      <c r="N62" s="18"/>
      <c r="O62" s="18"/>
      <c r="P62" s="18"/>
      <c r="Q62" s="18"/>
      <c r="R62" s="18"/>
      <c r="S62" s="18"/>
      <c r="T62" s="18"/>
      <c r="U62" s="18"/>
    </row>
    <row r="63" spans="1:21" ht="15" customHeight="1" x14ac:dyDescent="0.25">
      <c r="A63" s="18"/>
      <c r="B63" s="14"/>
      <c r="C63" s="18"/>
      <c r="D63" s="19"/>
      <c r="E63" s="19"/>
      <c r="F63" s="19"/>
      <c r="G63" s="19"/>
      <c r="H63" s="18"/>
      <c r="I63" s="119"/>
      <c r="J63" s="119"/>
      <c r="K63" s="119"/>
      <c r="L63" s="18"/>
      <c r="M63" s="18"/>
      <c r="N63" s="18"/>
      <c r="O63" s="18"/>
      <c r="P63" s="18"/>
      <c r="Q63" s="18"/>
      <c r="R63" s="18"/>
      <c r="S63" s="18"/>
      <c r="T63" s="18"/>
      <c r="U63" s="18"/>
    </row>
    <row r="64" spans="1:21" ht="15" customHeight="1" x14ac:dyDescent="0.25">
      <c r="A64" s="18"/>
      <c r="B64" s="14"/>
      <c r="C64" s="18"/>
      <c r="D64" s="19"/>
      <c r="E64" s="19"/>
      <c r="F64" s="19"/>
      <c r="G64" s="19"/>
      <c r="H64" s="18"/>
      <c r="I64" s="119"/>
      <c r="J64" s="119"/>
      <c r="K64" s="119"/>
      <c r="L64" s="18"/>
      <c r="M64" s="18"/>
      <c r="N64" s="18"/>
      <c r="O64" s="18"/>
      <c r="P64" s="18"/>
      <c r="Q64" s="18"/>
      <c r="R64" s="18"/>
      <c r="S64" s="18"/>
      <c r="T64" s="18"/>
      <c r="U64" s="18"/>
    </row>
    <row r="65" spans="1:21" ht="15" customHeight="1" x14ac:dyDescent="0.25">
      <c r="A65" s="18"/>
      <c r="B65" s="14"/>
      <c r="C65" s="18"/>
      <c r="D65" s="19"/>
      <c r="E65" s="19"/>
      <c r="F65" s="19"/>
      <c r="G65" s="19"/>
      <c r="H65" s="18"/>
      <c r="I65" s="119"/>
      <c r="J65" s="119"/>
      <c r="K65" s="119"/>
      <c r="L65" s="18"/>
      <c r="M65" s="18"/>
      <c r="N65" s="18"/>
      <c r="O65" s="18"/>
      <c r="P65" s="18"/>
      <c r="Q65" s="18"/>
      <c r="R65" s="18"/>
      <c r="S65" s="18"/>
      <c r="T65" s="18"/>
      <c r="U65" s="18"/>
    </row>
    <row r="66" spans="1:21" ht="15" customHeight="1" x14ac:dyDescent="0.25">
      <c r="A66" s="18"/>
      <c r="B66" s="14"/>
      <c r="C66" s="18"/>
      <c r="D66" s="19"/>
      <c r="E66" s="19"/>
      <c r="F66" s="19"/>
      <c r="G66" s="19"/>
      <c r="H66" s="18"/>
      <c r="I66" s="119"/>
      <c r="J66" s="119"/>
      <c r="K66" s="119"/>
      <c r="L66" s="18"/>
      <c r="M66" s="18"/>
      <c r="N66" s="18"/>
      <c r="O66" s="18"/>
      <c r="P66" s="18"/>
      <c r="Q66" s="18"/>
      <c r="R66" s="18"/>
      <c r="S66" s="18"/>
      <c r="T66" s="18"/>
      <c r="U66" s="18"/>
    </row>
    <row r="67" spans="1:21" ht="15" customHeight="1" x14ac:dyDescent="0.25">
      <c r="A67" s="18"/>
      <c r="B67" s="14"/>
      <c r="C67" s="18"/>
      <c r="D67" s="19"/>
      <c r="E67" s="19"/>
      <c r="F67" s="19"/>
      <c r="G67" s="19"/>
      <c r="H67" s="18"/>
      <c r="I67" s="119"/>
      <c r="J67" s="119"/>
      <c r="K67" s="119"/>
      <c r="L67" s="18"/>
      <c r="M67" s="18"/>
      <c r="N67" s="18"/>
      <c r="O67" s="18"/>
      <c r="P67" s="18"/>
      <c r="Q67" s="18"/>
      <c r="R67" s="18"/>
      <c r="S67" s="18"/>
      <c r="T67" s="18"/>
      <c r="U67" s="18"/>
    </row>
    <row r="68" spans="1:21" ht="15" customHeight="1" x14ac:dyDescent="0.25">
      <c r="A68" s="18"/>
      <c r="B68" s="14"/>
      <c r="C68" s="18"/>
      <c r="D68" s="19"/>
      <c r="E68" s="19"/>
      <c r="F68" s="19"/>
      <c r="G68" s="19"/>
      <c r="H68" s="18"/>
      <c r="I68" s="119"/>
      <c r="J68" s="119"/>
      <c r="K68" s="119"/>
      <c r="L68" s="18"/>
      <c r="M68" s="18"/>
      <c r="N68" s="18"/>
      <c r="O68" s="18"/>
      <c r="P68" s="18"/>
      <c r="Q68" s="18"/>
      <c r="R68" s="18"/>
      <c r="S68" s="18"/>
      <c r="T68" s="18"/>
      <c r="U68" s="18"/>
    </row>
    <row r="69" spans="1:21" ht="15" customHeight="1" x14ac:dyDescent="0.25">
      <c r="A69" s="18"/>
      <c r="B69" s="14"/>
      <c r="C69" s="18"/>
      <c r="D69" s="19"/>
      <c r="E69" s="19"/>
      <c r="F69" s="19"/>
      <c r="G69" s="19"/>
      <c r="H69" s="18"/>
      <c r="I69" s="119"/>
      <c r="J69" s="119"/>
      <c r="K69" s="119"/>
      <c r="L69" s="18"/>
      <c r="M69" s="18"/>
      <c r="N69" s="18"/>
      <c r="O69" s="18"/>
      <c r="P69" s="18"/>
      <c r="Q69" s="18"/>
      <c r="R69" s="18"/>
      <c r="S69" s="18"/>
      <c r="T69" s="18"/>
      <c r="U69" s="18"/>
    </row>
    <row r="71" spans="1:21" ht="15.75" x14ac:dyDescent="0.25">
      <c r="O71" s="17"/>
    </row>
    <row r="73" spans="1:21" ht="18.75" x14ac:dyDescent="0.3">
      <c r="A73" s="7"/>
      <c r="B73" s="15"/>
      <c r="C73" s="3"/>
      <c r="D73" s="3"/>
      <c r="E73" s="3"/>
      <c r="F73" s="3"/>
      <c r="G73" s="3"/>
      <c r="H73" s="3"/>
      <c r="I73" s="125"/>
      <c r="J73" s="125"/>
      <c r="K73" s="125"/>
      <c r="L73" s="3"/>
      <c r="M73" s="3"/>
      <c r="N73" s="16"/>
      <c r="O73" s="3"/>
      <c r="P73" s="3"/>
      <c r="Q73" s="3"/>
    </row>
  </sheetData>
  <mergeCells count="30">
    <mergeCell ref="I40:K40"/>
    <mergeCell ref="S1:V1"/>
    <mergeCell ref="A2:U2"/>
    <mergeCell ref="A5:U5"/>
    <mergeCell ref="A3:U3"/>
    <mergeCell ref="A4:V4"/>
    <mergeCell ref="R13:U13"/>
    <mergeCell ref="C13:C15"/>
    <mergeCell ref="H13:H15"/>
    <mergeCell ref="D13:D15"/>
    <mergeCell ref="E13:E15"/>
    <mergeCell ref="F13:F15"/>
    <mergeCell ref="G13:G15"/>
    <mergeCell ref="I13:N13"/>
    <mergeCell ref="A6:U6"/>
    <mergeCell ref="A13:A15"/>
    <mergeCell ref="P14:P15"/>
    <mergeCell ref="B13:B15"/>
    <mergeCell ref="A8:L9"/>
    <mergeCell ref="M8:U9"/>
    <mergeCell ref="A10:L10"/>
    <mergeCell ref="M10:U10"/>
    <mergeCell ref="A11:U11"/>
    <mergeCell ref="O13:Q13"/>
    <mergeCell ref="U14:U15"/>
    <mergeCell ref="O14:O15"/>
    <mergeCell ref="Q14:Q15"/>
    <mergeCell ref="R14:R15"/>
    <mergeCell ref="S14:S15"/>
    <mergeCell ref="T14:T15"/>
  </mergeCells>
  <pageMargins left="0.19685039370078741" right="0.11811023622047245" top="0.35433070866141736" bottom="0"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1"/>
  <sheetViews>
    <sheetView topLeftCell="D18" zoomScale="80" zoomScaleNormal="80" workbookViewId="0">
      <selection activeCell="A45" sqref="A45:XFD45"/>
    </sheetView>
  </sheetViews>
  <sheetFormatPr defaultRowHeight="15" x14ac:dyDescent="0.25"/>
  <cols>
    <col min="1" max="1" width="3.5703125" style="32" customWidth="1"/>
    <col min="2" max="2" width="14.42578125" style="32" customWidth="1"/>
    <col min="3" max="3" width="5.7109375" style="32" customWidth="1"/>
    <col min="4" max="4" width="5.140625" style="32" customWidth="1"/>
    <col min="5" max="5" width="7" style="32" customWidth="1"/>
    <col min="6" max="6" width="27.42578125" style="72" customWidth="1"/>
    <col min="7" max="7" width="5" style="32" customWidth="1"/>
    <col min="8" max="8" width="5.85546875" style="32" customWidth="1"/>
    <col min="9" max="9" width="5.140625" style="32" customWidth="1"/>
    <col min="10" max="10" width="5.85546875" style="32" customWidth="1"/>
    <col min="11" max="11" width="5.42578125" style="32" customWidth="1"/>
    <col min="12" max="12" width="6.5703125" style="32" customWidth="1"/>
    <col min="13" max="13" width="12.7109375" style="73" customWidth="1"/>
    <col min="14" max="14" width="8.7109375" style="73" customWidth="1"/>
    <col min="15" max="15" width="9.140625" style="73" customWidth="1"/>
    <col min="16" max="16" width="11" style="32" customWidth="1"/>
    <col min="17" max="17" width="10.85546875" style="32" customWidth="1"/>
    <col min="18" max="18" width="12.85546875" style="32" customWidth="1"/>
    <col min="19" max="19" width="10.42578125" style="75" customWidth="1"/>
    <col min="20" max="20" width="11" style="75" customWidth="1"/>
    <col min="21" max="21" width="12.85546875" style="75" customWidth="1"/>
    <col min="22" max="22" width="15.140625" style="75" customWidth="1"/>
    <col min="23" max="23" width="10.5703125" style="75" customWidth="1"/>
    <col min="24" max="25" width="10.85546875" style="75" customWidth="1"/>
    <col min="26" max="26" width="20.7109375" style="32" customWidth="1"/>
    <col min="27" max="16384" width="9.140625" style="32"/>
  </cols>
  <sheetData>
    <row r="1" spans="1:25" hidden="1" x14ac:dyDescent="0.25"/>
    <row r="2" spans="1:25" ht="15" customHeight="1" x14ac:dyDescent="0.25">
      <c r="B2" s="175" t="s">
        <v>20</v>
      </c>
      <c r="C2" s="175"/>
      <c r="D2" s="175"/>
      <c r="E2" s="175"/>
      <c r="F2" s="175"/>
      <c r="G2" s="175"/>
      <c r="H2" s="175"/>
      <c r="I2" s="175"/>
      <c r="J2" s="175"/>
      <c r="K2" s="175"/>
      <c r="L2" s="175"/>
      <c r="M2" s="175"/>
      <c r="N2" s="175"/>
      <c r="O2" s="175"/>
      <c r="P2" s="175"/>
      <c r="Q2" s="175"/>
      <c r="R2" s="175"/>
      <c r="S2" s="175"/>
      <c r="T2" s="175"/>
      <c r="U2" s="175"/>
      <c r="V2" s="175"/>
      <c r="W2" s="175"/>
      <c r="X2" s="175"/>
      <c r="Y2" s="175"/>
    </row>
    <row r="3" spans="1:25" ht="15" customHeight="1" x14ac:dyDescent="0.3">
      <c r="B3" s="176" t="s">
        <v>24</v>
      </c>
      <c r="C3" s="176"/>
      <c r="D3" s="176"/>
      <c r="E3" s="176"/>
      <c r="F3" s="176"/>
      <c r="G3" s="176"/>
      <c r="H3" s="176"/>
      <c r="I3" s="176"/>
      <c r="J3" s="176"/>
      <c r="K3" s="176"/>
      <c r="L3" s="176"/>
      <c r="M3" s="176"/>
      <c r="N3" s="176"/>
      <c r="O3" s="176"/>
      <c r="P3" s="176"/>
      <c r="Q3" s="176"/>
      <c r="R3" s="176"/>
      <c r="S3" s="176"/>
      <c r="T3" s="176"/>
      <c r="U3" s="176"/>
      <c r="V3" s="176"/>
      <c r="W3" s="176"/>
      <c r="X3" s="176"/>
      <c r="Y3" s="176"/>
    </row>
    <row r="4" spans="1:25" ht="15.75" customHeight="1" x14ac:dyDescent="0.25">
      <c r="B4" s="177" t="s">
        <v>110</v>
      </c>
      <c r="C4" s="177"/>
      <c r="D4" s="177"/>
      <c r="E4" s="177"/>
      <c r="F4" s="177"/>
      <c r="G4" s="177"/>
      <c r="H4" s="177"/>
      <c r="I4" s="177"/>
      <c r="J4" s="177"/>
      <c r="K4" s="177"/>
      <c r="L4" s="177"/>
      <c r="M4" s="177"/>
      <c r="N4" s="177"/>
      <c r="O4" s="177"/>
      <c r="P4" s="177"/>
      <c r="Q4" s="177"/>
      <c r="R4" s="177"/>
      <c r="S4" s="177"/>
      <c r="T4" s="177"/>
      <c r="U4" s="177"/>
      <c r="V4" s="177"/>
      <c r="W4" s="177"/>
      <c r="X4" s="177"/>
      <c r="Y4" s="177"/>
    </row>
    <row r="5" spans="1:25" ht="18.75" customHeight="1" x14ac:dyDescent="0.25">
      <c r="B5" s="178" t="s">
        <v>21</v>
      </c>
      <c r="C5" s="178"/>
      <c r="D5" s="178"/>
      <c r="E5" s="178"/>
      <c r="F5" s="178"/>
      <c r="G5" s="178"/>
      <c r="H5" s="178"/>
      <c r="I5" s="178"/>
      <c r="J5" s="178"/>
      <c r="K5" s="178"/>
      <c r="L5" s="178"/>
      <c r="M5" s="178"/>
      <c r="N5" s="178"/>
      <c r="O5" s="178"/>
      <c r="P5" s="178"/>
      <c r="Q5" s="178"/>
      <c r="R5" s="178"/>
      <c r="S5" s="178"/>
      <c r="T5" s="178"/>
      <c r="U5" s="178"/>
      <c r="V5" s="178"/>
      <c r="W5" s="178"/>
      <c r="X5" s="178"/>
      <c r="Y5" s="178"/>
    </row>
    <row r="6" spans="1:25" ht="56.25" customHeight="1" x14ac:dyDescent="0.25">
      <c r="B6" s="178" t="s">
        <v>51</v>
      </c>
      <c r="C6" s="178"/>
      <c r="D6" s="178"/>
      <c r="E6" s="178"/>
      <c r="F6" s="178"/>
      <c r="G6" s="178"/>
      <c r="H6" s="178"/>
      <c r="I6" s="178"/>
      <c r="J6" s="178"/>
      <c r="K6" s="178"/>
      <c r="L6" s="178"/>
      <c r="M6" s="178"/>
      <c r="N6" s="178"/>
      <c r="O6" s="178"/>
      <c r="P6" s="178"/>
      <c r="Q6" s="178"/>
      <c r="R6" s="178"/>
      <c r="S6" s="178"/>
      <c r="T6" s="178"/>
      <c r="U6" s="178"/>
      <c r="V6" s="178"/>
      <c r="W6" s="178"/>
      <c r="X6" s="178"/>
      <c r="Y6" s="178"/>
    </row>
    <row r="7" spans="1:25" ht="3" customHeight="1" x14ac:dyDescent="0.25">
      <c r="A7" s="76"/>
      <c r="B7" s="76"/>
      <c r="C7" s="76"/>
      <c r="D7" s="76"/>
      <c r="E7" s="76"/>
      <c r="F7" s="54"/>
      <c r="G7" s="76"/>
      <c r="H7" s="76"/>
      <c r="I7" s="76"/>
      <c r="J7" s="76"/>
      <c r="K7" s="76"/>
      <c r="L7" s="76"/>
      <c r="M7" s="77"/>
      <c r="N7" s="77"/>
      <c r="O7" s="77"/>
      <c r="P7" s="76"/>
      <c r="Q7" s="76"/>
      <c r="R7" s="76"/>
      <c r="S7" s="78"/>
      <c r="T7" s="78"/>
      <c r="U7" s="78"/>
      <c r="V7" s="78"/>
      <c r="W7" s="78"/>
      <c r="X7" s="78"/>
      <c r="Y7" s="78"/>
    </row>
    <row r="8" spans="1:25" ht="14.25" hidden="1" customHeight="1" x14ac:dyDescent="0.25">
      <c r="B8" s="180" t="s">
        <v>17</v>
      </c>
      <c r="C8" s="181"/>
      <c r="D8" s="181"/>
      <c r="E8" s="181"/>
      <c r="F8" s="181"/>
      <c r="G8" s="181"/>
      <c r="H8" s="181"/>
      <c r="I8" s="181"/>
      <c r="J8" s="181"/>
      <c r="K8" s="181"/>
      <c r="L8" s="181"/>
      <c r="M8" s="181"/>
      <c r="N8" s="181"/>
      <c r="O8" s="181"/>
      <c r="P8" s="181"/>
      <c r="Q8" s="181"/>
      <c r="R8" s="181"/>
      <c r="S8" s="181"/>
      <c r="T8" s="181"/>
      <c r="U8" s="181"/>
      <c r="V8" s="181"/>
      <c r="W8" s="181"/>
      <c r="X8" s="181"/>
      <c r="Y8" s="181"/>
    </row>
    <row r="9" spans="1:25" ht="9.75" hidden="1" customHeight="1" x14ac:dyDescent="0.25">
      <c r="B9" s="180"/>
      <c r="C9" s="181"/>
      <c r="D9" s="181"/>
      <c r="E9" s="181"/>
      <c r="F9" s="181"/>
      <c r="G9" s="181"/>
      <c r="H9" s="181"/>
      <c r="I9" s="181"/>
      <c r="J9" s="181"/>
      <c r="K9" s="181"/>
      <c r="L9" s="181"/>
      <c r="M9" s="181"/>
      <c r="N9" s="181"/>
      <c r="O9" s="181"/>
      <c r="P9" s="181"/>
      <c r="Q9" s="181"/>
      <c r="R9" s="181"/>
      <c r="S9" s="181"/>
      <c r="T9" s="181"/>
      <c r="U9" s="181"/>
      <c r="V9" s="181"/>
      <c r="W9" s="181"/>
      <c r="X9" s="181"/>
      <c r="Y9" s="181"/>
    </row>
    <row r="10" spans="1:25" ht="15" hidden="1" customHeight="1" x14ac:dyDescent="0.25">
      <c r="B10" s="180" t="s">
        <v>66</v>
      </c>
      <c r="C10" s="181"/>
      <c r="D10" s="181"/>
      <c r="E10" s="181"/>
      <c r="F10" s="181"/>
      <c r="G10" s="181"/>
      <c r="H10" s="181"/>
      <c r="I10" s="181"/>
      <c r="J10" s="181"/>
      <c r="K10" s="181"/>
      <c r="L10" s="181"/>
      <c r="M10" s="181"/>
      <c r="N10" s="181"/>
      <c r="O10" s="181"/>
      <c r="P10" s="181"/>
      <c r="Q10" s="181"/>
      <c r="R10" s="181"/>
      <c r="S10" s="181"/>
      <c r="T10" s="181"/>
      <c r="U10" s="181"/>
      <c r="V10" s="181"/>
      <c r="W10" s="181"/>
      <c r="X10" s="181"/>
      <c r="Y10" s="181"/>
    </row>
    <row r="11" spans="1:25" ht="19.5" hidden="1" x14ac:dyDescent="0.35">
      <c r="B11" s="182" t="s">
        <v>0</v>
      </c>
      <c r="C11" s="182"/>
      <c r="D11" s="182"/>
      <c r="E11" s="182"/>
      <c r="F11" s="182"/>
      <c r="G11" s="182"/>
      <c r="H11" s="182"/>
      <c r="I11" s="182"/>
      <c r="J11" s="182"/>
      <c r="K11" s="182"/>
      <c r="L11" s="182"/>
      <c r="M11" s="182"/>
      <c r="N11" s="182"/>
      <c r="O11" s="182"/>
      <c r="P11" s="182"/>
      <c r="Q11" s="182"/>
      <c r="R11" s="182"/>
      <c r="S11" s="182"/>
      <c r="T11" s="182"/>
      <c r="U11" s="182"/>
      <c r="V11" s="182"/>
      <c r="W11" s="182"/>
      <c r="X11" s="182"/>
      <c r="Y11" s="182"/>
    </row>
    <row r="12" spans="1:25" ht="2.25" customHeight="1" x14ac:dyDescent="0.25">
      <c r="F12" s="32"/>
    </row>
    <row r="13" spans="1:25" ht="37.5" customHeight="1" x14ac:dyDescent="0.25">
      <c r="A13" s="179" t="s">
        <v>1</v>
      </c>
      <c r="B13" s="183" t="s">
        <v>2</v>
      </c>
      <c r="C13" s="183" t="s">
        <v>36</v>
      </c>
      <c r="D13" s="183" t="s">
        <v>37</v>
      </c>
      <c r="E13" s="183"/>
      <c r="F13" s="184" t="s">
        <v>39</v>
      </c>
      <c r="G13" s="179" t="s">
        <v>3</v>
      </c>
      <c r="H13" s="185" t="s">
        <v>28</v>
      </c>
      <c r="I13" s="185" t="s">
        <v>29</v>
      </c>
      <c r="J13" s="185" t="s">
        <v>30</v>
      </c>
      <c r="K13" s="185" t="s">
        <v>31</v>
      </c>
      <c r="L13" s="179" t="s">
        <v>54</v>
      </c>
      <c r="M13" s="179" t="s">
        <v>4</v>
      </c>
      <c r="N13" s="179"/>
      <c r="O13" s="179"/>
      <c r="P13" s="179"/>
      <c r="Q13" s="179"/>
      <c r="R13" s="179"/>
      <c r="S13" s="187" t="s">
        <v>5</v>
      </c>
      <c r="T13" s="187"/>
      <c r="U13" s="187"/>
      <c r="V13" s="187" t="s">
        <v>12</v>
      </c>
      <c r="W13" s="187"/>
      <c r="X13" s="187"/>
      <c r="Y13" s="187"/>
    </row>
    <row r="14" spans="1:25" ht="41.25" customHeight="1" x14ac:dyDescent="0.25">
      <c r="A14" s="179"/>
      <c r="B14" s="183"/>
      <c r="C14" s="183"/>
      <c r="D14" s="183"/>
      <c r="E14" s="183"/>
      <c r="F14" s="184"/>
      <c r="G14" s="179"/>
      <c r="H14" s="185"/>
      <c r="I14" s="185"/>
      <c r="J14" s="185"/>
      <c r="K14" s="185"/>
      <c r="L14" s="179"/>
      <c r="M14" s="131" t="s">
        <v>94</v>
      </c>
      <c r="N14" s="131" t="s">
        <v>103</v>
      </c>
      <c r="O14" s="131" t="s">
        <v>95</v>
      </c>
      <c r="P14" s="131" t="s">
        <v>94</v>
      </c>
      <c r="Q14" s="131" t="s">
        <v>103</v>
      </c>
      <c r="R14" s="131" t="s">
        <v>95</v>
      </c>
      <c r="S14" s="186" t="s">
        <v>7</v>
      </c>
      <c r="T14" s="186" t="s">
        <v>6</v>
      </c>
      <c r="U14" s="186" t="s">
        <v>8</v>
      </c>
      <c r="V14" s="186" t="s">
        <v>9</v>
      </c>
      <c r="W14" s="186" t="s">
        <v>10</v>
      </c>
      <c r="X14" s="186" t="s">
        <v>15</v>
      </c>
      <c r="Y14" s="186" t="s">
        <v>11</v>
      </c>
    </row>
    <row r="15" spans="1:25" ht="69" customHeight="1" x14ac:dyDescent="0.25">
      <c r="A15" s="179"/>
      <c r="B15" s="183"/>
      <c r="C15" s="183"/>
      <c r="D15" s="183"/>
      <c r="E15" s="183"/>
      <c r="F15" s="184"/>
      <c r="G15" s="179"/>
      <c r="H15" s="185"/>
      <c r="I15" s="185"/>
      <c r="J15" s="185"/>
      <c r="K15" s="185"/>
      <c r="L15" s="179"/>
      <c r="M15" s="110" t="s">
        <v>33</v>
      </c>
      <c r="N15" s="110" t="s">
        <v>33</v>
      </c>
      <c r="O15" s="110" t="s">
        <v>33</v>
      </c>
      <c r="P15" s="62" t="s">
        <v>34</v>
      </c>
      <c r="Q15" s="62" t="s">
        <v>34</v>
      </c>
      <c r="R15" s="62" t="s">
        <v>34</v>
      </c>
      <c r="S15" s="186"/>
      <c r="T15" s="186"/>
      <c r="U15" s="186"/>
      <c r="V15" s="186"/>
      <c r="W15" s="186"/>
      <c r="X15" s="186"/>
      <c r="Y15" s="186"/>
    </row>
    <row r="16" spans="1:25" ht="46.5" customHeight="1" x14ac:dyDescent="0.25">
      <c r="A16" s="195">
        <v>1</v>
      </c>
      <c r="B16" s="200" t="s">
        <v>35</v>
      </c>
      <c r="C16" s="195" t="s">
        <v>38</v>
      </c>
      <c r="D16" s="195">
        <v>290</v>
      </c>
      <c r="E16" s="200" t="s">
        <v>100</v>
      </c>
      <c r="F16" s="31" t="s">
        <v>40</v>
      </c>
      <c r="G16" s="56" t="s">
        <v>25</v>
      </c>
      <c r="H16" s="43">
        <v>20</v>
      </c>
      <c r="I16" s="43">
        <v>30</v>
      </c>
      <c r="J16" s="43">
        <v>95</v>
      </c>
      <c r="K16" s="43">
        <v>145</v>
      </c>
      <c r="L16" s="57">
        <f>H16+I16+J16+K16</f>
        <v>290</v>
      </c>
      <c r="M16" s="117">
        <v>100</v>
      </c>
      <c r="N16" s="117">
        <v>330</v>
      </c>
      <c r="O16" s="117">
        <v>0</v>
      </c>
      <c r="P16" s="58">
        <f t="shared" ref="P16:P38" si="0">M16*L16</f>
        <v>29000</v>
      </c>
      <c r="Q16" s="58">
        <f t="shared" ref="Q16" si="1">N16*L16</f>
        <v>95700</v>
      </c>
      <c r="R16" s="58">
        <f>O16*L16</f>
        <v>0</v>
      </c>
      <c r="S16" s="188">
        <f>AVERAGE(P42:R42)/290</f>
        <v>3845.545977011494</v>
      </c>
      <c r="T16" s="188">
        <f>STDEV(P42:R42)/290</f>
        <v>1263.1178522921882</v>
      </c>
      <c r="U16" s="188">
        <f>T16/S16*100</f>
        <v>32.846255378119302</v>
      </c>
      <c r="V16" s="192">
        <f>S16*D16</f>
        <v>1115208.3333333333</v>
      </c>
      <c r="W16" s="192">
        <f>V16</f>
        <v>1115208.3333333333</v>
      </c>
      <c r="X16" s="192">
        <f>W16</f>
        <v>1115208.3333333333</v>
      </c>
      <c r="Y16" s="192">
        <f>S16*D16</f>
        <v>1115208.3333333333</v>
      </c>
    </row>
    <row r="17" spans="1:25" ht="49.5" customHeight="1" x14ac:dyDescent="0.25">
      <c r="A17" s="196"/>
      <c r="B17" s="201"/>
      <c r="C17" s="196"/>
      <c r="D17" s="196"/>
      <c r="E17" s="201"/>
      <c r="F17" s="104" t="s">
        <v>83</v>
      </c>
      <c r="G17" s="56" t="s">
        <v>25</v>
      </c>
      <c r="H17" s="43">
        <v>20</v>
      </c>
      <c r="I17" s="43">
        <v>30</v>
      </c>
      <c r="J17" s="43">
        <v>95</v>
      </c>
      <c r="K17" s="43">
        <v>145</v>
      </c>
      <c r="L17" s="57">
        <f t="shared" ref="L17:L40" si="2">H17+I17+J17+K17</f>
        <v>290</v>
      </c>
      <c r="M17" s="122">
        <v>35</v>
      </c>
      <c r="N17" s="122">
        <v>150</v>
      </c>
      <c r="O17" s="122">
        <v>105</v>
      </c>
      <c r="P17" s="58">
        <f t="shared" si="0"/>
        <v>10150</v>
      </c>
      <c r="Q17" s="58">
        <f t="shared" ref="Q17:Q38" si="3">N17*L17</f>
        <v>43500</v>
      </c>
      <c r="R17" s="58">
        <f>O17*L17</f>
        <v>30450</v>
      </c>
      <c r="S17" s="189"/>
      <c r="T17" s="189"/>
      <c r="U17" s="189"/>
      <c r="V17" s="193"/>
      <c r="W17" s="193"/>
      <c r="X17" s="193"/>
      <c r="Y17" s="193"/>
    </row>
    <row r="18" spans="1:25" ht="33.75" customHeight="1" x14ac:dyDescent="0.25">
      <c r="A18" s="196"/>
      <c r="B18" s="201"/>
      <c r="C18" s="196"/>
      <c r="D18" s="196"/>
      <c r="E18" s="201"/>
      <c r="F18" s="104" t="s">
        <v>68</v>
      </c>
      <c r="G18" s="56" t="s">
        <v>25</v>
      </c>
      <c r="H18" s="43">
        <v>20</v>
      </c>
      <c r="I18" s="43">
        <v>30</v>
      </c>
      <c r="J18" s="43">
        <v>95</v>
      </c>
      <c r="K18" s="43">
        <v>145</v>
      </c>
      <c r="L18" s="57">
        <f t="shared" si="2"/>
        <v>290</v>
      </c>
      <c r="M18" s="122">
        <v>150</v>
      </c>
      <c r="N18" s="122">
        <v>240</v>
      </c>
      <c r="O18" s="122">
        <v>200</v>
      </c>
      <c r="P18" s="58">
        <f t="shared" si="0"/>
        <v>43500</v>
      </c>
      <c r="Q18" s="58">
        <f t="shared" si="3"/>
        <v>69600</v>
      </c>
      <c r="R18" s="58">
        <f t="shared" ref="R18:R39" si="4">O18*L18</f>
        <v>58000</v>
      </c>
      <c r="S18" s="189"/>
      <c r="T18" s="189"/>
      <c r="U18" s="189"/>
      <c r="V18" s="193"/>
      <c r="W18" s="193"/>
      <c r="X18" s="193"/>
      <c r="Y18" s="193"/>
    </row>
    <row r="19" spans="1:25" ht="33.75" customHeight="1" x14ac:dyDescent="0.25">
      <c r="A19" s="196"/>
      <c r="B19" s="201"/>
      <c r="C19" s="196"/>
      <c r="D19" s="196"/>
      <c r="E19" s="201"/>
      <c r="F19" s="104" t="s">
        <v>41</v>
      </c>
      <c r="G19" s="56" t="s">
        <v>25</v>
      </c>
      <c r="H19" s="43">
        <v>20</v>
      </c>
      <c r="I19" s="43">
        <v>30</v>
      </c>
      <c r="J19" s="43">
        <v>95</v>
      </c>
      <c r="K19" s="43">
        <v>145</v>
      </c>
      <c r="L19" s="57">
        <f t="shared" si="2"/>
        <v>290</v>
      </c>
      <c r="M19" s="122">
        <v>150</v>
      </c>
      <c r="N19" s="117">
        <v>240</v>
      </c>
      <c r="O19" s="117">
        <v>150</v>
      </c>
      <c r="P19" s="58">
        <f t="shared" si="0"/>
        <v>43500</v>
      </c>
      <c r="Q19" s="58">
        <f t="shared" si="3"/>
        <v>69600</v>
      </c>
      <c r="R19" s="58">
        <f t="shared" si="4"/>
        <v>43500</v>
      </c>
      <c r="S19" s="189"/>
      <c r="T19" s="189"/>
      <c r="U19" s="189"/>
      <c r="V19" s="193"/>
      <c r="W19" s="193"/>
      <c r="X19" s="193"/>
      <c r="Y19" s="193"/>
    </row>
    <row r="20" spans="1:25" ht="43.5" customHeight="1" x14ac:dyDescent="0.25">
      <c r="A20" s="196"/>
      <c r="B20" s="201"/>
      <c r="C20" s="196"/>
      <c r="D20" s="196"/>
      <c r="E20" s="201"/>
      <c r="F20" s="104" t="s">
        <v>82</v>
      </c>
      <c r="G20" s="56" t="s">
        <v>25</v>
      </c>
      <c r="H20" s="43">
        <v>20</v>
      </c>
      <c r="I20" s="43">
        <v>30</v>
      </c>
      <c r="J20" s="43">
        <v>95</v>
      </c>
      <c r="K20" s="43">
        <v>145</v>
      </c>
      <c r="L20" s="57">
        <f t="shared" si="2"/>
        <v>290</v>
      </c>
      <c r="M20" s="122">
        <f>125+15</f>
        <v>140</v>
      </c>
      <c r="N20" s="122">
        <v>350</v>
      </c>
      <c r="O20" s="122">
        <v>200</v>
      </c>
      <c r="P20" s="58">
        <f t="shared" si="0"/>
        <v>40600</v>
      </c>
      <c r="Q20" s="58">
        <f t="shared" si="3"/>
        <v>101500</v>
      </c>
      <c r="R20" s="58">
        <f t="shared" si="4"/>
        <v>58000</v>
      </c>
      <c r="S20" s="189"/>
      <c r="T20" s="189"/>
      <c r="U20" s="189"/>
      <c r="V20" s="193"/>
      <c r="W20" s="193"/>
      <c r="X20" s="193"/>
      <c r="Y20" s="193"/>
    </row>
    <row r="21" spans="1:25" ht="33.75" customHeight="1" x14ac:dyDescent="0.25">
      <c r="A21" s="196"/>
      <c r="B21" s="201"/>
      <c r="C21" s="196"/>
      <c r="D21" s="196"/>
      <c r="E21" s="201"/>
      <c r="F21" s="104" t="s">
        <v>86</v>
      </c>
      <c r="G21" s="56" t="s">
        <v>25</v>
      </c>
      <c r="H21" s="43">
        <v>20</v>
      </c>
      <c r="I21" s="43">
        <v>30</v>
      </c>
      <c r="J21" s="43">
        <v>95</v>
      </c>
      <c r="K21" s="43">
        <v>145</v>
      </c>
      <c r="L21" s="57">
        <f t="shared" si="2"/>
        <v>290</v>
      </c>
      <c r="M21" s="122">
        <v>120</v>
      </c>
      <c r="N21" s="122">
        <v>120</v>
      </c>
      <c r="O21" s="122">
        <v>105</v>
      </c>
      <c r="P21" s="58">
        <f t="shared" si="0"/>
        <v>34800</v>
      </c>
      <c r="Q21" s="58">
        <f t="shared" si="3"/>
        <v>34800</v>
      </c>
      <c r="R21" s="58">
        <f t="shared" si="4"/>
        <v>30450</v>
      </c>
      <c r="S21" s="189"/>
      <c r="T21" s="189"/>
      <c r="U21" s="189"/>
      <c r="V21" s="193"/>
      <c r="W21" s="193"/>
      <c r="X21" s="193"/>
      <c r="Y21" s="193"/>
    </row>
    <row r="22" spans="1:25" ht="23.25" customHeight="1" x14ac:dyDescent="0.25">
      <c r="A22" s="196"/>
      <c r="B22" s="201"/>
      <c r="C22" s="196"/>
      <c r="D22" s="196"/>
      <c r="E22" s="201"/>
      <c r="F22" s="104" t="s">
        <v>78</v>
      </c>
      <c r="G22" s="56" t="s">
        <v>25</v>
      </c>
      <c r="H22" s="43">
        <v>20</v>
      </c>
      <c r="I22" s="43">
        <v>30</v>
      </c>
      <c r="J22" s="43">
        <v>95</v>
      </c>
      <c r="K22" s="43">
        <v>145</v>
      </c>
      <c r="L22" s="57">
        <f t="shared" si="2"/>
        <v>290</v>
      </c>
      <c r="M22" s="122">
        <v>120</v>
      </c>
      <c r="N22" s="122">
        <v>120</v>
      </c>
      <c r="O22" s="122">
        <v>105</v>
      </c>
      <c r="P22" s="58">
        <f t="shared" si="0"/>
        <v>34800</v>
      </c>
      <c r="Q22" s="58">
        <f t="shared" si="3"/>
        <v>34800</v>
      </c>
      <c r="R22" s="58">
        <f t="shared" si="4"/>
        <v>30450</v>
      </c>
      <c r="S22" s="189"/>
      <c r="T22" s="189"/>
      <c r="U22" s="189"/>
      <c r="V22" s="193"/>
      <c r="W22" s="193"/>
      <c r="X22" s="193"/>
      <c r="Y22" s="193"/>
    </row>
    <row r="23" spans="1:25" ht="15.75" customHeight="1" x14ac:dyDescent="0.25">
      <c r="A23" s="196"/>
      <c r="B23" s="201"/>
      <c r="C23" s="196"/>
      <c r="D23" s="196"/>
      <c r="E23" s="201"/>
      <c r="F23" s="104" t="s">
        <v>79</v>
      </c>
      <c r="G23" s="56" t="s">
        <v>25</v>
      </c>
      <c r="H23" s="43">
        <v>20</v>
      </c>
      <c r="I23" s="43">
        <v>30</v>
      </c>
      <c r="J23" s="43">
        <v>95</v>
      </c>
      <c r="K23" s="43">
        <v>145</v>
      </c>
      <c r="L23" s="57">
        <f t="shared" si="2"/>
        <v>290</v>
      </c>
      <c r="M23" s="122">
        <v>120</v>
      </c>
      <c r="N23" s="122">
        <v>120</v>
      </c>
      <c r="O23" s="122">
        <v>105</v>
      </c>
      <c r="P23" s="58">
        <f t="shared" si="0"/>
        <v>34800</v>
      </c>
      <c r="Q23" s="58">
        <f t="shared" si="3"/>
        <v>34800</v>
      </c>
      <c r="R23" s="58">
        <f t="shared" si="4"/>
        <v>30450</v>
      </c>
      <c r="S23" s="189"/>
      <c r="T23" s="189"/>
      <c r="U23" s="189"/>
      <c r="V23" s="193"/>
      <c r="W23" s="193"/>
      <c r="X23" s="193"/>
      <c r="Y23" s="193"/>
    </row>
    <row r="24" spans="1:25" ht="33" customHeight="1" x14ac:dyDescent="0.25">
      <c r="A24" s="196"/>
      <c r="B24" s="201"/>
      <c r="C24" s="196"/>
      <c r="D24" s="196"/>
      <c r="E24" s="201"/>
      <c r="F24" s="104" t="s">
        <v>26</v>
      </c>
      <c r="G24" s="56" t="s">
        <v>25</v>
      </c>
      <c r="H24" s="43">
        <v>20</v>
      </c>
      <c r="I24" s="43">
        <v>30</v>
      </c>
      <c r="J24" s="43">
        <v>95</v>
      </c>
      <c r="K24" s="43">
        <v>145</v>
      </c>
      <c r="L24" s="57">
        <f t="shared" si="2"/>
        <v>290</v>
      </c>
      <c r="M24" s="122">
        <v>100</v>
      </c>
      <c r="N24" s="122">
        <v>250</v>
      </c>
      <c r="O24" s="122">
        <v>165</v>
      </c>
      <c r="P24" s="58">
        <f t="shared" si="0"/>
        <v>29000</v>
      </c>
      <c r="Q24" s="58">
        <f t="shared" si="3"/>
        <v>72500</v>
      </c>
      <c r="R24" s="58">
        <f t="shared" si="4"/>
        <v>47850</v>
      </c>
      <c r="S24" s="189"/>
      <c r="T24" s="189"/>
      <c r="U24" s="189"/>
      <c r="V24" s="193"/>
      <c r="W24" s="193"/>
      <c r="X24" s="193"/>
      <c r="Y24" s="193"/>
    </row>
    <row r="25" spans="1:25" ht="24" customHeight="1" x14ac:dyDescent="0.25">
      <c r="A25" s="196"/>
      <c r="B25" s="201"/>
      <c r="C25" s="196"/>
      <c r="D25" s="196"/>
      <c r="E25" s="201"/>
      <c r="F25" s="104" t="s">
        <v>42</v>
      </c>
      <c r="G25" s="56" t="s">
        <v>25</v>
      </c>
      <c r="H25" s="43">
        <v>20</v>
      </c>
      <c r="I25" s="43">
        <v>30</v>
      </c>
      <c r="J25" s="43">
        <v>95</v>
      </c>
      <c r="K25" s="43">
        <v>145</v>
      </c>
      <c r="L25" s="57">
        <f t="shared" si="2"/>
        <v>290</v>
      </c>
      <c r="M25" s="122">
        <v>95</v>
      </c>
      <c r="N25" s="122">
        <v>150</v>
      </c>
      <c r="O25" s="122">
        <v>105</v>
      </c>
      <c r="P25" s="58">
        <f t="shared" si="0"/>
        <v>27550</v>
      </c>
      <c r="Q25" s="58">
        <f t="shared" si="3"/>
        <v>43500</v>
      </c>
      <c r="R25" s="58">
        <f t="shared" si="4"/>
        <v>30450</v>
      </c>
      <c r="S25" s="189"/>
      <c r="T25" s="189"/>
      <c r="U25" s="189"/>
      <c r="V25" s="193"/>
      <c r="W25" s="193"/>
      <c r="X25" s="193"/>
      <c r="Y25" s="193"/>
    </row>
    <row r="26" spans="1:25" ht="59.25" customHeight="1" x14ac:dyDescent="0.25">
      <c r="A26" s="196"/>
      <c r="B26" s="201"/>
      <c r="C26" s="196"/>
      <c r="D26" s="196"/>
      <c r="E26" s="201"/>
      <c r="F26" s="104" t="s">
        <v>50</v>
      </c>
      <c r="G26" s="56" t="s">
        <v>25</v>
      </c>
      <c r="H26" s="43">
        <v>0</v>
      </c>
      <c r="I26" s="43">
        <v>30</v>
      </c>
      <c r="J26" s="43">
        <v>0</v>
      </c>
      <c r="K26" s="43">
        <v>145</v>
      </c>
      <c r="L26" s="57">
        <f t="shared" si="2"/>
        <v>175</v>
      </c>
      <c r="M26" s="122">
        <v>100</v>
      </c>
      <c r="N26" s="122">
        <v>120</v>
      </c>
      <c r="O26" s="122">
        <v>105</v>
      </c>
      <c r="P26" s="58">
        <f t="shared" si="0"/>
        <v>17500</v>
      </c>
      <c r="Q26" s="58">
        <f t="shared" si="3"/>
        <v>21000</v>
      </c>
      <c r="R26" s="58">
        <f t="shared" si="4"/>
        <v>18375</v>
      </c>
      <c r="S26" s="189"/>
      <c r="T26" s="189"/>
      <c r="U26" s="189"/>
      <c r="V26" s="193"/>
      <c r="W26" s="193"/>
      <c r="X26" s="193"/>
      <c r="Y26" s="193"/>
    </row>
    <row r="27" spans="1:25" ht="24" customHeight="1" x14ac:dyDescent="0.25">
      <c r="A27" s="196"/>
      <c r="B27" s="201"/>
      <c r="C27" s="196"/>
      <c r="D27" s="196"/>
      <c r="E27" s="201"/>
      <c r="F27" s="104" t="s">
        <v>47</v>
      </c>
      <c r="G27" s="56" t="s">
        <v>25</v>
      </c>
      <c r="H27" s="43">
        <v>20</v>
      </c>
      <c r="I27" s="43">
        <v>30</v>
      </c>
      <c r="J27" s="43">
        <v>95</v>
      </c>
      <c r="K27" s="43">
        <v>145</v>
      </c>
      <c r="L27" s="57">
        <f t="shared" si="2"/>
        <v>290</v>
      </c>
      <c r="M27" s="122">
        <v>95</v>
      </c>
      <c r="N27" s="122">
        <v>150</v>
      </c>
      <c r="O27" s="122">
        <v>105</v>
      </c>
      <c r="P27" s="58">
        <f t="shared" si="0"/>
        <v>27550</v>
      </c>
      <c r="Q27" s="58">
        <f t="shared" si="3"/>
        <v>43500</v>
      </c>
      <c r="R27" s="58">
        <f t="shared" si="4"/>
        <v>30450</v>
      </c>
      <c r="S27" s="189"/>
      <c r="T27" s="189"/>
      <c r="U27" s="189"/>
      <c r="V27" s="193"/>
      <c r="W27" s="193"/>
      <c r="X27" s="193"/>
      <c r="Y27" s="193"/>
    </row>
    <row r="28" spans="1:25" ht="36.75" customHeight="1" x14ac:dyDescent="0.25">
      <c r="A28" s="196"/>
      <c r="B28" s="201"/>
      <c r="C28" s="196"/>
      <c r="D28" s="196"/>
      <c r="E28" s="201"/>
      <c r="F28" s="104" t="s">
        <v>89</v>
      </c>
      <c r="G28" s="56" t="s">
        <v>25</v>
      </c>
      <c r="H28" s="43">
        <v>20</v>
      </c>
      <c r="I28" s="43">
        <v>30</v>
      </c>
      <c r="J28" s="43">
        <v>95</v>
      </c>
      <c r="K28" s="43">
        <v>145</v>
      </c>
      <c r="L28" s="57">
        <f t="shared" ref="L28" si="5">H28+I28+J28+K28</f>
        <v>290</v>
      </c>
      <c r="M28" s="129">
        <v>95</v>
      </c>
      <c r="N28" s="122">
        <v>120</v>
      </c>
      <c r="O28" s="129">
        <v>140</v>
      </c>
      <c r="P28" s="58">
        <f t="shared" ref="P28" si="6">M28*L28</f>
        <v>27550</v>
      </c>
      <c r="Q28" s="58">
        <f t="shared" ref="Q28" si="7">N28*L28</f>
        <v>34800</v>
      </c>
      <c r="R28" s="58">
        <f t="shared" ref="R28" si="8">O28*L28</f>
        <v>40600</v>
      </c>
      <c r="S28" s="189"/>
      <c r="T28" s="189"/>
      <c r="U28" s="189"/>
      <c r="V28" s="193"/>
      <c r="W28" s="193"/>
      <c r="X28" s="193"/>
      <c r="Y28" s="193"/>
    </row>
    <row r="29" spans="1:25" ht="24" hidden="1" customHeight="1" x14ac:dyDescent="0.25">
      <c r="A29" s="196"/>
      <c r="B29" s="201"/>
      <c r="C29" s="196"/>
      <c r="D29" s="196"/>
      <c r="E29" s="201"/>
      <c r="F29" s="104" t="s">
        <v>88</v>
      </c>
      <c r="G29" s="56" t="s">
        <v>25</v>
      </c>
      <c r="H29" s="43">
        <v>20</v>
      </c>
      <c r="I29" s="43">
        <v>30</v>
      </c>
      <c r="J29" s="43">
        <v>0</v>
      </c>
      <c r="K29" s="43">
        <v>0</v>
      </c>
      <c r="L29" s="57">
        <f t="shared" si="2"/>
        <v>50</v>
      </c>
      <c r="M29" s="117">
        <v>0</v>
      </c>
      <c r="N29" s="137">
        <v>0</v>
      </c>
      <c r="O29" s="122"/>
      <c r="P29" s="58">
        <v>0</v>
      </c>
      <c r="Q29" s="58">
        <f t="shared" si="3"/>
        <v>0</v>
      </c>
      <c r="R29" s="58">
        <f t="shared" si="4"/>
        <v>0</v>
      </c>
      <c r="S29" s="189"/>
      <c r="T29" s="189"/>
      <c r="U29" s="189"/>
      <c r="V29" s="193"/>
      <c r="W29" s="193"/>
      <c r="X29" s="193"/>
      <c r="Y29" s="193"/>
    </row>
    <row r="30" spans="1:25" ht="24" customHeight="1" x14ac:dyDescent="0.25">
      <c r="A30" s="196"/>
      <c r="B30" s="201"/>
      <c r="C30" s="196"/>
      <c r="D30" s="196"/>
      <c r="E30" s="201"/>
      <c r="F30" s="104" t="s">
        <v>43</v>
      </c>
      <c r="G30" s="56" t="s">
        <v>25</v>
      </c>
      <c r="H30" s="43">
        <v>20</v>
      </c>
      <c r="I30" s="43">
        <v>30</v>
      </c>
      <c r="J30" s="43">
        <v>95</v>
      </c>
      <c r="K30" s="43">
        <v>145</v>
      </c>
      <c r="L30" s="57">
        <f t="shared" si="2"/>
        <v>290</v>
      </c>
      <c r="M30" s="122">
        <v>95</v>
      </c>
      <c r="N30" s="122">
        <v>150</v>
      </c>
      <c r="O30" s="122">
        <v>105</v>
      </c>
      <c r="P30" s="58">
        <f t="shared" si="0"/>
        <v>27550</v>
      </c>
      <c r="Q30" s="58">
        <f t="shared" si="3"/>
        <v>43500</v>
      </c>
      <c r="R30" s="58">
        <f t="shared" si="4"/>
        <v>30450</v>
      </c>
      <c r="S30" s="189"/>
      <c r="T30" s="189"/>
      <c r="U30" s="189"/>
      <c r="V30" s="193"/>
      <c r="W30" s="193"/>
      <c r="X30" s="193"/>
      <c r="Y30" s="193"/>
    </row>
    <row r="31" spans="1:25" ht="62.25" customHeight="1" x14ac:dyDescent="0.25">
      <c r="A31" s="196"/>
      <c r="B31" s="201"/>
      <c r="C31" s="196"/>
      <c r="D31" s="196"/>
      <c r="E31" s="201"/>
      <c r="F31" s="104" t="s">
        <v>44</v>
      </c>
      <c r="G31" s="56" t="s">
        <v>25</v>
      </c>
      <c r="H31" s="43">
        <v>0</v>
      </c>
      <c r="I31" s="43">
        <v>0</v>
      </c>
      <c r="J31" s="43">
        <v>95</v>
      </c>
      <c r="K31" s="43">
        <v>145</v>
      </c>
      <c r="L31" s="57">
        <f t="shared" si="2"/>
        <v>240</v>
      </c>
      <c r="M31" s="117">
        <v>95</v>
      </c>
      <c r="N31" s="122">
        <v>180</v>
      </c>
      <c r="O31" s="122">
        <v>170</v>
      </c>
      <c r="P31" s="58">
        <f t="shared" ref="P31" si="9">M31*L31</f>
        <v>22800</v>
      </c>
      <c r="Q31" s="58">
        <f t="shared" ref="Q31" si="10">N31*L31</f>
        <v>43200</v>
      </c>
      <c r="R31" s="58">
        <f t="shared" ref="R31" si="11">O31*L31</f>
        <v>40800</v>
      </c>
      <c r="S31" s="189"/>
      <c r="T31" s="189"/>
      <c r="U31" s="189"/>
      <c r="V31" s="193"/>
      <c r="W31" s="193"/>
      <c r="X31" s="193"/>
      <c r="Y31" s="193"/>
    </row>
    <row r="32" spans="1:25" ht="36" customHeight="1" x14ac:dyDescent="0.25">
      <c r="A32" s="196"/>
      <c r="B32" s="201"/>
      <c r="C32" s="196"/>
      <c r="D32" s="196"/>
      <c r="E32" s="201"/>
      <c r="F32" s="104" t="s">
        <v>80</v>
      </c>
      <c r="G32" s="56" t="s">
        <v>25</v>
      </c>
      <c r="H32" s="43">
        <v>0</v>
      </c>
      <c r="I32" s="43">
        <v>0</v>
      </c>
      <c r="J32" s="43">
        <v>95</v>
      </c>
      <c r="K32" s="43">
        <v>145</v>
      </c>
      <c r="L32" s="57">
        <f t="shared" si="2"/>
        <v>240</v>
      </c>
      <c r="M32" s="122">
        <f>200+15</f>
        <v>215</v>
      </c>
      <c r="N32" s="122">
        <v>180</v>
      </c>
      <c r="O32" s="122">
        <v>160</v>
      </c>
      <c r="P32" s="58">
        <f t="shared" si="0"/>
        <v>51600</v>
      </c>
      <c r="Q32" s="58">
        <f t="shared" si="3"/>
        <v>43200</v>
      </c>
      <c r="R32" s="58">
        <f t="shared" si="4"/>
        <v>38400</v>
      </c>
      <c r="S32" s="189"/>
      <c r="T32" s="189"/>
      <c r="U32" s="189"/>
      <c r="V32" s="193"/>
      <c r="W32" s="193"/>
      <c r="X32" s="193"/>
      <c r="Y32" s="193"/>
    </row>
    <row r="33" spans="1:25" ht="33.75" customHeight="1" x14ac:dyDescent="0.25">
      <c r="A33" s="196"/>
      <c r="B33" s="201"/>
      <c r="C33" s="196"/>
      <c r="D33" s="196"/>
      <c r="E33" s="201"/>
      <c r="F33" s="126" t="s">
        <v>87</v>
      </c>
      <c r="G33" s="56" t="s">
        <v>25</v>
      </c>
      <c r="H33" s="43">
        <v>0</v>
      </c>
      <c r="I33" s="43">
        <v>0</v>
      </c>
      <c r="J33" s="43">
        <v>95</v>
      </c>
      <c r="K33" s="43">
        <v>145</v>
      </c>
      <c r="L33" s="57">
        <f t="shared" si="2"/>
        <v>240</v>
      </c>
      <c r="M33" s="132">
        <v>150</v>
      </c>
      <c r="N33" s="122">
        <v>120</v>
      </c>
      <c r="O33" s="122">
        <v>100</v>
      </c>
      <c r="P33" s="58">
        <f t="shared" ref="P33" si="12">M33*L33</f>
        <v>36000</v>
      </c>
      <c r="Q33" s="58">
        <f t="shared" ref="Q33" si="13">N33*L33</f>
        <v>28800</v>
      </c>
      <c r="R33" s="58">
        <f t="shared" ref="R33" si="14">O33*L33</f>
        <v>24000</v>
      </c>
      <c r="S33" s="189"/>
      <c r="T33" s="189"/>
      <c r="U33" s="189"/>
      <c r="V33" s="193"/>
      <c r="W33" s="193"/>
      <c r="X33" s="193"/>
      <c r="Y33" s="193"/>
    </row>
    <row r="34" spans="1:25" ht="25.5" customHeight="1" x14ac:dyDescent="0.25">
      <c r="A34" s="196"/>
      <c r="B34" s="201"/>
      <c r="C34" s="196"/>
      <c r="D34" s="196"/>
      <c r="E34" s="201"/>
      <c r="F34" s="104" t="s">
        <v>48</v>
      </c>
      <c r="G34" s="56" t="s">
        <v>25</v>
      </c>
      <c r="H34" s="43">
        <v>0</v>
      </c>
      <c r="I34" s="43">
        <v>0</v>
      </c>
      <c r="J34" s="43">
        <v>0</v>
      </c>
      <c r="K34" s="43">
        <v>145</v>
      </c>
      <c r="L34" s="57">
        <f t="shared" si="2"/>
        <v>145</v>
      </c>
      <c r="M34" s="123">
        <v>350</v>
      </c>
      <c r="N34" s="123">
        <v>1000</v>
      </c>
      <c r="O34" s="117">
        <v>650</v>
      </c>
      <c r="P34" s="58">
        <f>M34*L34</f>
        <v>50750</v>
      </c>
      <c r="Q34" s="58">
        <f t="shared" si="3"/>
        <v>145000</v>
      </c>
      <c r="R34" s="58">
        <f t="shared" si="4"/>
        <v>94250</v>
      </c>
      <c r="S34" s="189"/>
      <c r="T34" s="189"/>
      <c r="U34" s="189"/>
      <c r="V34" s="193"/>
      <c r="W34" s="193"/>
      <c r="X34" s="193"/>
      <c r="Y34" s="193"/>
    </row>
    <row r="35" spans="1:25" ht="23.25" customHeight="1" x14ac:dyDescent="0.25">
      <c r="A35" s="196"/>
      <c r="B35" s="201"/>
      <c r="C35" s="196"/>
      <c r="D35" s="196"/>
      <c r="E35" s="201"/>
      <c r="F35" s="104" t="s">
        <v>85</v>
      </c>
      <c r="G35" s="56" t="s">
        <v>25</v>
      </c>
      <c r="H35" s="43">
        <v>20</v>
      </c>
      <c r="I35" s="43">
        <v>30</v>
      </c>
      <c r="J35" s="43">
        <v>95</v>
      </c>
      <c r="K35" s="43">
        <v>145</v>
      </c>
      <c r="L35" s="57">
        <f t="shared" si="2"/>
        <v>290</v>
      </c>
      <c r="M35" s="117">
        <v>100</v>
      </c>
      <c r="N35" s="117">
        <v>240</v>
      </c>
      <c r="O35" s="117">
        <v>230</v>
      </c>
      <c r="P35" s="58">
        <f t="shared" si="0"/>
        <v>29000</v>
      </c>
      <c r="Q35" s="58">
        <f t="shared" si="3"/>
        <v>69600</v>
      </c>
      <c r="R35" s="58">
        <f t="shared" si="4"/>
        <v>66700</v>
      </c>
      <c r="S35" s="189"/>
      <c r="T35" s="189"/>
      <c r="U35" s="189"/>
      <c r="V35" s="193"/>
      <c r="W35" s="193"/>
      <c r="X35" s="193"/>
      <c r="Y35" s="193"/>
    </row>
    <row r="36" spans="1:25" ht="55.5" customHeight="1" x14ac:dyDescent="0.25">
      <c r="A36" s="196"/>
      <c r="B36" s="201"/>
      <c r="C36" s="196"/>
      <c r="D36" s="196"/>
      <c r="E36" s="201"/>
      <c r="F36" s="104" t="s">
        <v>45</v>
      </c>
      <c r="G36" s="56" t="s">
        <v>25</v>
      </c>
      <c r="H36" s="43">
        <v>20</v>
      </c>
      <c r="I36" s="43">
        <v>30</v>
      </c>
      <c r="J36" s="43">
        <v>95</v>
      </c>
      <c r="K36" s="43">
        <v>145</v>
      </c>
      <c r="L36" s="57">
        <f t="shared" si="2"/>
        <v>290</v>
      </c>
      <c r="M36" s="117">
        <v>95</v>
      </c>
      <c r="N36" s="117">
        <v>150</v>
      </c>
      <c r="O36" s="117">
        <v>140</v>
      </c>
      <c r="P36" s="58">
        <f t="shared" ref="P36" si="15">M36*L36</f>
        <v>27550</v>
      </c>
      <c r="Q36" s="58">
        <f t="shared" ref="Q36" si="16">N36*L36</f>
        <v>43500</v>
      </c>
      <c r="R36" s="58">
        <f t="shared" ref="R36" si="17">O36*L36</f>
        <v>40600</v>
      </c>
      <c r="S36" s="189"/>
      <c r="T36" s="189"/>
      <c r="U36" s="189"/>
      <c r="V36" s="193"/>
      <c r="W36" s="193"/>
      <c r="X36" s="193"/>
      <c r="Y36" s="193"/>
    </row>
    <row r="37" spans="1:25" ht="18" customHeight="1" x14ac:dyDescent="0.25">
      <c r="A37" s="196"/>
      <c r="B37" s="201"/>
      <c r="C37" s="196"/>
      <c r="D37" s="196"/>
      <c r="E37" s="201"/>
      <c r="F37" s="104" t="s">
        <v>84</v>
      </c>
      <c r="G37" s="56" t="s">
        <v>25</v>
      </c>
      <c r="H37" s="43">
        <v>20</v>
      </c>
      <c r="I37" s="43">
        <v>30</v>
      </c>
      <c r="J37" s="43">
        <v>95</v>
      </c>
      <c r="K37" s="43">
        <v>145</v>
      </c>
      <c r="L37" s="57">
        <f t="shared" si="2"/>
        <v>290</v>
      </c>
      <c r="M37" s="122">
        <v>100</v>
      </c>
      <c r="N37" s="122">
        <v>150</v>
      </c>
      <c r="O37" s="122">
        <v>170</v>
      </c>
      <c r="P37" s="58">
        <f t="shared" si="0"/>
        <v>29000</v>
      </c>
      <c r="Q37" s="58">
        <f t="shared" si="3"/>
        <v>43500</v>
      </c>
      <c r="R37" s="58">
        <f t="shared" si="4"/>
        <v>49300</v>
      </c>
      <c r="S37" s="189"/>
      <c r="T37" s="189"/>
      <c r="U37" s="189"/>
      <c r="V37" s="193"/>
      <c r="W37" s="193"/>
      <c r="X37" s="193"/>
      <c r="Y37" s="193"/>
    </row>
    <row r="38" spans="1:25" ht="23.25" customHeight="1" x14ac:dyDescent="0.25">
      <c r="A38" s="196"/>
      <c r="B38" s="201"/>
      <c r="C38" s="196"/>
      <c r="D38" s="196"/>
      <c r="E38" s="201"/>
      <c r="F38" s="105" t="s">
        <v>46</v>
      </c>
      <c r="G38" s="79" t="s">
        <v>25</v>
      </c>
      <c r="H38" s="80">
        <v>0</v>
      </c>
      <c r="I38" s="80">
        <v>0</v>
      </c>
      <c r="J38" s="43">
        <v>95</v>
      </c>
      <c r="K38" s="43">
        <v>145</v>
      </c>
      <c r="L38" s="81">
        <f t="shared" si="2"/>
        <v>240</v>
      </c>
      <c r="M38" s="124">
        <v>350</v>
      </c>
      <c r="N38" s="124">
        <v>1300</v>
      </c>
      <c r="O38" s="124">
        <v>800</v>
      </c>
      <c r="P38" s="82">
        <f t="shared" si="0"/>
        <v>84000</v>
      </c>
      <c r="Q38" s="82">
        <f t="shared" si="3"/>
        <v>312000</v>
      </c>
      <c r="R38" s="58">
        <f t="shared" si="4"/>
        <v>192000</v>
      </c>
      <c r="S38" s="189"/>
      <c r="T38" s="189"/>
      <c r="U38" s="189"/>
      <c r="V38" s="193"/>
      <c r="W38" s="193"/>
      <c r="X38" s="193"/>
      <c r="Y38" s="193"/>
    </row>
    <row r="39" spans="1:25" ht="70.5" customHeight="1" x14ac:dyDescent="0.25">
      <c r="A39" s="196"/>
      <c r="B39" s="201"/>
      <c r="C39" s="196"/>
      <c r="D39" s="203"/>
      <c r="E39" s="204" t="s">
        <v>101</v>
      </c>
      <c r="F39" s="104" t="s">
        <v>71</v>
      </c>
      <c r="G39" s="62" t="s">
        <v>25</v>
      </c>
      <c r="H39" s="63">
        <v>5</v>
      </c>
      <c r="I39" s="63">
        <v>10</v>
      </c>
      <c r="J39" s="63">
        <v>25</v>
      </c>
      <c r="K39" s="63">
        <v>15</v>
      </c>
      <c r="L39" s="57">
        <f>H39+I39+J39+K39</f>
        <v>55</v>
      </c>
      <c r="M39" s="129">
        <f>200+200</f>
        <v>400</v>
      </c>
      <c r="N39" s="122">
        <f>380+250</f>
        <v>630</v>
      </c>
      <c r="O39" s="129">
        <f>320+280</f>
        <v>600</v>
      </c>
      <c r="P39" s="58">
        <f t="shared" ref="P39" si="18">M39*L39</f>
        <v>22000</v>
      </c>
      <c r="Q39" s="58">
        <f t="shared" ref="Q39" si="19">N39*L39</f>
        <v>34650</v>
      </c>
      <c r="R39" s="58">
        <f t="shared" si="4"/>
        <v>33000</v>
      </c>
      <c r="S39" s="190"/>
      <c r="T39" s="189"/>
      <c r="U39" s="189"/>
      <c r="V39" s="193"/>
      <c r="W39" s="193"/>
      <c r="X39" s="193"/>
      <c r="Y39" s="193"/>
    </row>
    <row r="40" spans="1:25" ht="42.75" customHeight="1" x14ac:dyDescent="0.25">
      <c r="A40" s="196"/>
      <c r="B40" s="201"/>
      <c r="C40" s="196"/>
      <c r="D40" s="203"/>
      <c r="E40" s="204"/>
      <c r="F40" s="104" t="s">
        <v>90</v>
      </c>
      <c r="G40" s="62" t="s">
        <v>25</v>
      </c>
      <c r="H40" s="63">
        <v>5</v>
      </c>
      <c r="I40" s="63">
        <v>10</v>
      </c>
      <c r="J40" s="63">
        <v>25</v>
      </c>
      <c r="K40" s="63">
        <v>15</v>
      </c>
      <c r="L40" s="57">
        <f t="shared" si="2"/>
        <v>55</v>
      </c>
      <c r="M40" s="205" t="s">
        <v>91</v>
      </c>
      <c r="N40" s="206"/>
      <c r="O40" s="207"/>
      <c r="P40" s="58">
        <v>0</v>
      </c>
      <c r="Q40" s="58">
        <v>0</v>
      </c>
      <c r="R40" s="58">
        <v>0</v>
      </c>
      <c r="S40" s="190"/>
      <c r="T40" s="189"/>
      <c r="U40" s="189"/>
      <c r="V40" s="193"/>
      <c r="W40" s="193"/>
      <c r="X40" s="193"/>
      <c r="Y40" s="193"/>
    </row>
    <row r="41" spans="1:25" ht="80.25" customHeight="1" x14ac:dyDescent="0.25">
      <c r="A41" s="197"/>
      <c r="B41" s="202"/>
      <c r="C41" s="197"/>
      <c r="D41" s="197"/>
      <c r="E41" s="61"/>
      <c r="F41" s="106" t="s">
        <v>27</v>
      </c>
      <c r="G41" s="83" t="s">
        <v>25</v>
      </c>
      <c r="H41" s="84">
        <v>0</v>
      </c>
      <c r="I41" s="84">
        <v>0</v>
      </c>
      <c r="J41" s="84">
        <v>0</v>
      </c>
      <c r="K41" s="84">
        <v>0</v>
      </c>
      <c r="L41" s="85" t="s">
        <v>69</v>
      </c>
      <c r="M41" s="208" t="s">
        <v>49</v>
      </c>
      <c r="N41" s="209"/>
      <c r="O41" s="210"/>
      <c r="P41" s="86">
        <v>0</v>
      </c>
      <c r="Q41" s="86">
        <v>0</v>
      </c>
      <c r="R41" s="58">
        <v>0</v>
      </c>
      <c r="S41" s="189"/>
      <c r="T41" s="189"/>
      <c r="U41" s="189"/>
      <c r="V41" s="193"/>
      <c r="W41" s="193"/>
      <c r="X41" s="193"/>
      <c r="Y41" s="193"/>
    </row>
    <row r="42" spans="1:25" ht="21.75" customHeight="1" x14ac:dyDescent="0.25">
      <c r="A42" s="87"/>
      <c r="B42" s="87"/>
      <c r="C42" s="87"/>
      <c r="D42" s="87"/>
      <c r="E42" s="87"/>
      <c r="F42" s="88" t="s">
        <v>16</v>
      </c>
      <c r="G42" s="89"/>
      <c r="H42" s="89"/>
      <c r="I42" s="89"/>
      <c r="J42" s="89"/>
      <c r="K42" s="89"/>
      <c r="L42" s="88"/>
      <c r="M42" s="90">
        <f>SUM(M16:M24)+SUM(M25:M34)+SUM(M35:M37)+M38</f>
        <v>2970</v>
      </c>
      <c r="N42" s="90">
        <f>SUM(N17:N24)+SUM(N25:N33)+SUM(N35:N37)+N38</f>
        <v>4600</v>
      </c>
      <c r="O42" s="90">
        <f>SUM(O17:O24)+SUM(O25:O33)+SUM(O35:O37)+O38+O34</f>
        <v>4115</v>
      </c>
      <c r="P42" s="135">
        <f>SUM(P16:P41)</f>
        <v>780550</v>
      </c>
      <c r="Q42" s="136">
        <f>SUM(Q16:Q41)</f>
        <v>1506550</v>
      </c>
      <c r="R42" s="136">
        <f>SUM(R16:R41)</f>
        <v>1058525</v>
      </c>
      <c r="S42" s="191"/>
      <c r="T42" s="191"/>
      <c r="U42" s="191"/>
      <c r="V42" s="194"/>
      <c r="W42" s="194"/>
      <c r="X42" s="194"/>
      <c r="Y42" s="194"/>
    </row>
    <row r="43" spans="1:25" x14ac:dyDescent="0.25">
      <c r="A43" s="91"/>
      <c r="C43" s="91"/>
      <c r="D43" s="91"/>
      <c r="E43" s="91"/>
      <c r="F43" s="91"/>
      <c r="G43" s="91"/>
      <c r="H43" s="91"/>
      <c r="I43" s="91"/>
      <c r="J43" s="91"/>
      <c r="K43" s="91"/>
      <c r="L43" s="91"/>
      <c r="M43" s="92"/>
      <c r="N43" s="92"/>
      <c r="O43" s="92"/>
      <c r="P43" s="71"/>
      <c r="Q43" s="71"/>
      <c r="R43" s="71"/>
      <c r="S43" s="93"/>
      <c r="T43" s="93"/>
      <c r="U43" s="93"/>
      <c r="V43" s="94"/>
      <c r="W43" s="94"/>
      <c r="X43" s="94"/>
      <c r="Y43" s="94"/>
    </row>
    <row r="44" spans="1:25" x14ac:dyDescent="0.25">
      <c r="F44" s="32"/>
    </row>
    <row r="45" spans="1:25" x14ac:dyDescent="0.25">
      <c r="B45" s="73" t="s">
        <v>108</v>
      </c>
      <c r="G45" s="211">
        <f>НМЦД!N50</f>
        <v>1115208.3333333333</v>
      </c>
      <c r="H45" s="211"/>
      <c r="I45" s="32" t="s">
        <v>105</v>
      </c>
    </row>
    <row r="46" spans="1:25" x14ac:dyDescent="0.25">
      <c r="S46" s="95"/>
      <c r="T46" s="95"/>
    </row>
    <row r="47" spans="1:25" ht="18.75" x14ac:dyDescent="0.3">
      <c r="A47" s="96"/>
      <c r="B47" s="96" t="s">
        <v>14</v>
      </c>
      <c r="C47" s="97"/>
      <c r="D47" s="97"/>
      <c r="E47" s="97"/>
      <c r="F47" s="97"/>
      <c r="G47" s="97"/>
      <c r="H47" s="97"/>
      <c r="I47" s="97"/>
      <c r="J47" s="97"/>
      <c r="K47" s="97"/>
      <c r="L47" s="97"/>
      <c r="M47" s="127"/>
      <c r="N47" s="127"/>
      <c r="O47" s="127"/>
      <c r="P47" s="97"/>
      <c r="Q47" s="97"/>
      <c r="R47" s="97"/>
      <c r="S47" s="32"/>
      <c r="T47" s="32"/>
    </row>
    <row r="48" spans="1:25" x14ac:dyDescent="0.25">
      <c r="F48" s="32"/>
      <c r="S48" s="32"/>
      <c r="T48" s="32"/>
    </row>
    <row r="49" spans="1:25" x14ac:dyDescent="0.25">
      <c r="F49" s="32"/>
      <c r="S49" s="32"/>
      <c r="T49" s="32"/>
    </row>
    <row r="50" spans="1:25" ht="24" customHeight="1" x14ac:dyDescent="0.25">
      <c r="C50" s="72" t="s">
        <v>23</v>
      </c>
      <c r="D50" s="72"/>
      <c r="F50" s="32"/>
      <c r="G50" s="32" t="s">
        <v>52</v>
      </c>
      <c r="I50" s="99"/>
      <c r="L50" s="32" t="s">
        <v>53</v>
      </c>
      <c r="N50" s="100"/>
      <c r="P50" s="101"/>
      <c r="R50" s="118"/>
      <c r="T50" s="32"/>
    </row>
    <row r="51" spans="1:25" x14ac:dyDescent="0.25">
      <c r="F51" s="102"/>
      <c r="S51" s="32"/>
      <c r="T51" s="32"/>
    </row>
    <row r="52" spans="1:25" x14ac:dyDescent="0.25">
      <c r="C52" s="199">
        <v>46049</v>
      </c>
      <c r="D52" s="199"/>
      <c r="E52" s="199"/>
      <c r="F52" s="32"/>
    </row>
    <row r="53" spans="1:25" ht="17.25" customHeight="1" x14ac:dyDescent="0.25">
      <c r="C53" s="134" t="s">
        <v>99</v>
      </c>
      <c r="D53" s="133"/>
      <c r="E53" s="1"/>
      <c r="F53" s="32"/>
    </row>
    <row r="54" spans="1:25" x14ac:dyDescent="0.25">
      <c r="F54" s="32"/>
      <c r="S54" s="78"/>
      <c r="T54" s="78"/>
      <c r="V54" s="78"/>
      <c r="W54" s="78"/>
      <c r="X54" s="78"/>
      <c r="Y54" s="78"/>
    </row>
    <row r="55" spans="1:25" ht="15" customHeight="1" x14ac:dyDescent="0.25">
      <c r="A55" s="76"/>
      <c r="B55" s="76"/>
      <c r="C55" s="76"/>
      <c r="D55" s="76"/>
      <c r="E55" s="76"/>
      <c r="F55" s="54"/>
      <c r="G55" s="76"/>
      <c r="H55" s="76"/>
      <c r="I55" s="76"/>
      <c r="J55" s="76"/>
      <c r="K55" s="76"/>
      <c r="L55" s="76"/>
      <c r="M55" s="77"/>
      <c r="N55" s="77"/>
      <c r="O55" s="77"/>
      <c r="P55" s="76"/>
      <c r="Q55" s="76"/>
      <c r="R55" s="76"/>
      <c r="S55" s="78"/>
      <c r="T55" s="78"/>
      <c r="V55" s="78"/>
      <c r="W55" s="78"/>
      <c r="X55" s="78"/>
      <c r="Y55" s="78"/>
    </row>
    <row r="56" spans="1:25" ht="15" customHeight="1" x14ac:dyDescent="0.25">
      <c r="A56" s="76"/>
      <c r="B56" s="198"/>
      <c r="C56" s="198"/>
      <c r="D56" s="198"/>
      <c r="E56" s="198"/>
      <c r="F56" s="198"/>
      <c r="G56" s="198"/>
      <c r="H56" s="198"/>
      <c r="I56" s="198"/>
      <c r="J56" s="198"/>
      <c r="K56" s="198"/>
      <c r="L56" s="198"/>
      <c r="M56" s="198"/>
      <c r="N56" s="198"/>
      <c r="O56" s="198"/>
      <c r="P56" s="198"/>
      <c r="Q56" s="198"/>
      <c r="R56" s="198"/>
      <c r="S56" s="78"/>
      <c r="T56" s="78"/>
      <c r="U56" s="78"/>
      <c r="V56" s="78"/>
      <c r="W56" s="78"/>
      <c r="X56" s="78"/>
      <c r="Y56" s="78"/>
    </row>
    <row r="57" spans="1:25" ht="15" hidden="1" customHeight="1" x14ac:dyDescent="0.25">
      <c r="A57" s="76"/>
      <c r="B57" s="76"/>
      <c r="C57" s="76"/>
      <c r="D57" s="76"/>
      <c r="E57" s="76"/>
      <c r="F57" s="54"/>
      <c r="G57" s="76"/>
      <c r="H57" s="76"/>
      <c r="I57" s="76"/>
      <c r="J57" s="76"/>
      <c r="K57" s="76"/>
      <c r="L57" s="76"/>
      <c r="M57" s="77"/>
      <c r="N57" s="77"/>
      <c r="O57" s="77"/>
      <c r="P57" s="76"/>
      <c r="Q57" s="76"/>
      <c r="R57" s="76"/>
      <c r="S57" s="78"/>
      <c r="T57" s="78"/>
      <c r="U57" s="78"/>
      <c r="V57" s="78"/>
      <c r="W57" s="78"/>
      <c r="X57" s="78"/>
      <c r="Y57" s="78"/>
    </row>
    <row r="58" spans="1:25" ht="15" hidden="1" customHeight="1" x14ac:dyDescent="0.25">
      <c r="A58" s="76"/>
      <c r="B58" s="76"/>
      <c r="C58" s="76"/>
      <c r="D58" s="76"/>
      <c r="E58" s="76"/>
      <c r="F58" s="54"/>
      <c r="G58" s="76"/>
      <c r="H58" s="76"/>
      <c r="I58" s="76"/>
      <c r="J58" s="76"/>
      <c r="K58" s="76"/>
      <c r="L58" s="76"/>
      <c r="M58" s="77" t="s">
        <v>58</v>
      </c>
      <c r="N58" s="77" t="e">
        <f>SUM(M16:M25)+SUM(M27:M30)+#REF!+M35+M37+#REF!</f>
        <v>#REF!</v>
      </c>
      <c r="O58" s="77" t="e">
        <f>SUM(N16:N25)+SUM(N27:N30)+#REF!+N35+N37+#REF!</f>
        <v>#REF!</v>
      </c>
      <c r="P58" s="76" t="e">
        <f>SUM(O16:O25)+SUM(O27:O30)+#REF!+O35+O37</f>
        <v>#REF!</v>
      </c>
      <c r="Q58" s="76"/>
      <c r="R58" s="76"/>
      <c r="S58" s="78"/>
      <c r="T58" s="78"/>
      <c r="U58" s="78"/>
      <c r="V58" s="78"/>
      <c r="W58" s="78"/>
      <c r="X58" s="78"/>
      <c r="Y58" s="78"/>
    </row>
    <row r="59" spans="1:25" ht="15" hidden="1" customHeight="1" x14ac:dyDescent="0.25">
      <c r="A59" s="76"/>
      <c r="B59" s="76"/>
      <c r="C59" s="76"/>
      <c r="D59" s="76"/>
      <c r="E59" s="76"/>
      <c r="F59" s="54"/>
      <c r="G59" s="76"/>
      <c r="H59" s="76"/>
      <c r="I59" s="76"/>
      <c r="J59" s="76"/>
      <c r="K59" s="76"/>
      <c r="L59" s="76"/>
      <c r="M59" s="77" t="s">
        <v>59</v>
      </c>
      <c r="N59" s="77" t="e">
        <f>SUM(M16:M26)+SUM(M27:M30)+#REF!+#REF!+M35+M37</f>
        <v>#REF!</v>
      </c>
      <c r="O59" s="77" t="e">
        <f>SUM(N16:N26)+SUM(N27:N30)+#REF!+#REF!+N35+N37</f>
        <v>#REF!</v>
      </c>
      <c r="P59" s="76" t="e">
        <f>SUM(O16:O26)+SUM(O27:O30)+#REF!+O35+O37</f>
        <v>#REF!</v>
      </c>
      <c r="Q59" s="76"/>
      <c r="R59" s="76"/>
      <c r="S59" s="78"/>
      <c r="T59" s="78"/>
      <c r="U59" s="78"/>
      <c r="V59" s="78"/>
      <c r="W59" s="78"/>
      <c r="X59" s="78"/>
      <c r="Y59" s="78"/>
    </row>
    <row r="60" spans="1:25" ht="15" hidden="1" customHeight="1" x14ac:dyDescent="0.25">
      <c r="A60" s="76"/>
      <c r="B60" s="76"/>
      <c r="C60" s="76"/>
      <c r="D60" s="76"/>
      <c r="E60" s="76"/>
      <c r="F60" s="54"/>
      <c r="G60" s="76"/>
      <c r="H60" s="76"/>
      <c r="I60" s="76"/>
      <c r="J60" s="76"/>
      <c r="K60" s="76"/>
      <c r="L60" s="76"/>
      <c r="M60" s="77" t="s">
        <v>60</v>
      </c>
      <c r="N60" s="77">
        <f>SUM(M16:M25)+SUM(M27:M33)+M37+M38+M35</f>
        <v>2425</v>
      </c>
      <c r="O60" s="77">
        <f>SUM(N16:N25)+SUM(N27:N33)+N37+N38+N35</f>
        <v>4660</v>
      </c>
      <c r="P60" s="76">
        <f>SUM(O16:O25)+SUM(O27:O33)+O37+O38+O35</f>
        <v>3220</v>
      </c>
      <c r="Q60" s="76"/>
      <c r="R60" s="76"/>
      <c r="S60" s="78"/>
      <c r="T60" s="78"/>
      <c r="U60" s="78"/>
      <c r="V60" s="78"/>
      <c r="W60" s="78"/>
      <c r="X60" s="78"/>
      <c r="Y60" s="78"/>
    </row>
    <row r="61" spans="1:25" ht="15" hidden="1" customHeight="1" x14ac:dyDescent="0.25">
      <c r="A61" s="76"/>
      <c r="B61" s="76"/>
      <c r="C61" s="76"/>
      <c r="D61" s="76"/>
      <c r="E61" s="76"/>
      <c r="F61" s="54"/>
      <c r="G61" s="76"/>
      <c r="H61" s="76"/>
      <c r="I61" s="76"/>
      <c r="J61" s="76"/>
      <c r="K61" s="76"/>
      <c r="L61" s="76"/>
      <c r="M61" s="77" t="s">
        <v>61</v>
      </c>
      <c r="N61" s="77">
        <f>SUM(M16:M33)+M35+M37+M38</f>
        <v>2525</v>
      </c>
      <c r="O61" s="77">
        <f>SUM(N16:N33)+N35+N37+N38</f>
        <v>4780</v>
      </c>
      <c r="P61" s="76">
        <f>SUM(O16:O33)+O35+O37+O38</f>
        <v>3325</v>
      </c>
      <c r="Q61" s="76"/>
      <c r="R61" s="76"/>
      <c r="S61" s="78"/>
      <c r="T61" s="78"/>
      <c r="U61" s="78"/>
      <c r="V61" s="78"/>
      <c r="W61" s="78"/>
      <c r="X61" s="78"/>
      <c r="Y61" s="78"/>
    </row>
    <row r="62" spans="1:25" ht="15" customHeight="1" x14ac:dyDescent="0.25">
      <c r="A62" s="76"/>
      <c r="B62" s="76"/>
      <c r="C62" s="76"/>
      <c r="D62" s="76"/>
      <c r="E62" s="76"/>
      <c r="F62" s="54"/>
      <c r="G62" s="76"/>
      <c r="H62" s="76"/>
      <c r="I62" s="76"/>
      <c r="J62" s="76"/>
      <c r="K62" s="76"/>
      <c r="L62" s="76"/>
      <c r="M62" s="77"/>
      <c r="N62" s="77"/>
      <c r="O62" s="77"/>
      <c r="P62" s="76"/>
      <c r="Q62" s="76"/>
      <c r="R62" s="76"/>
      <c r="S62" s="78"/>
      <c r="T62" s="78"/>
      <c r="U62" s="78"/>
      <c r="V62" s="78"/>
      <c r="W62" s="78"/>
      <c r="X62" s="78"/>
      <c r="Y62" s="78"/>
    </row>
    <row r="63" spans="1:25" ht="15" customHeight="1" x14ac:dyDescent="0.25">
      <c r="A63" s="76"/>
      <c r="B63" s="59" t="s">
        <v>76</v>
      </c>
      <c r="C63" s="76"/>
      <c r="D63" s="76"/>
      <c r="E63" s="76"/>
      <c r="F63" s="54"/>
      <c r="G63" s="76"/>
      <c r="H63" s="76"/>
      <c r="I63" s="76"/>
      <c r="J63" s="76"/>
      <c r="K63" s="76"/>
      <c r="L63" s="76"/>
      <c r="M63" s="77"/>
      <c r="N63" s="77"/>
      <c r="O63" s="77"/>
      <c r="P63" s="76"/>
      <c r="Q63" s="76"/>
      <c r="R63" s="76"/>
      <c r="S63" s="78"/>
      <c r="T63" s="78"/>
      <c r="U63" s="78"/>
      <c r="V63" s="78"/>
      <c r="W63" s="78"/>
      <c r="X63" s="78"/>
      <c r="Y63" s="78"/>
    </row>
    <row r="64" spans="1:25" ht="15" customHeight="1" x14ac:dyDescent="0.25">
      <c r="A64" s="76"/>
      <c r="B64" s="59" t="s">
        <v>75</v>
      </c>
      <c r="C64" s="76"/>
      <c r="D64" s="76"/>
      <c r="E64" s="76"/>
      <c r="F64" s="54"/>
      <c r="G64" s="76"/>
      <c r="H64" s="76"/>
      <c r="I64" s="76"/>
      <c r="J64" s="76"/>
      <c r="K64" s="76"/>
      <c r="L64" s="76"/>
      <c r="M64" s="77"/>
      <c r="N64" s="77"/>
      <c r="O64" s="77"/>
      <c r="P64" s="76"/>
      <c r="Q64" s="76"/>
      <c r="R64" s="76"/>
    </row>
    <row r="65" spans="1:21" x14ac:dyDescent="0.25">
      <c r="B65" s="1" t="s">
        <v>73</v>
      </c>
      <c r="S65" s="103"/>
    </row>
    <row r="66" spans="1:21" x14ac:dyDescent="0.25">
      <c r="B66" s="59" t="s">
        <v>74</v>
      </c>
    </row>
    <row r="67" spans="1:21" x14ac:dyDescent="0.25">
      <c r="B67" s="32" t="s">
        <v>93</v>
      </c>
      <c r="S67" s="95"/>
      <c r="T67" s="95"/>
      <c r="U67" s="95"/>
    </row>
    <row r="68" spans="1:21" ht="18.75" x14ac:dyDescent="0.3">
      <c r="A68" s="96"/>
      <c r="B68" s="74"/>
      <c r="C68" s="114"/>
      <c r="D68" s="114"/>
      <c r="E68" s="114"/>
      <c r="F68" s="115"/>
      <c r="G68" s="98"/>
      <c r="H68" s="98"/>
      <c r="I68" s="98"/>
      <c r="J68" s="98"/>
      <c r="K68" s="98"/>
      <c r="L68" s="98"/>
      <c r="M68" s="127"/>
      <c r="N68" s="127"/>
      <c r="O68" s="127"/>
      <c r="P68" s="97"/>
      <c r="Q68" s="97"/>
      <c r="R68" s="97"/>
    </row>
    <row r="69" spans="1:21" x14ac:dyDescent="0.25">
      <c r="B69" s="74"/>
      <c r="C69" s="74"/>
      <c r="D69" s="74"/>
      <c r="E69" s="74"/>
      <c r="F69" s="116"/>
      <c r="G69" s="74"/>
      <c r="H69" s="74"/>
      <c r="I69" s="74"/>
      <c r="J69" s="74"/>
      <c r="K69" s="74"/>
      <c r="L69" s="74"/>
    </row>
    <row r="70" spans="1:21" x14ac:dyDescent="0.25">
      <c r="B70" s="74"/>
      <c r="C70" s="74"/>
      <c r="D70" s="74"/>
      <c r="E70" s="74"/>
      <c r="F70" s="116"/>
      <c r="G70" s="74"/>
      <c r="H70" s="74"/>
      <c r="I70" s="74"/>
      <c r="J70" s="74"/>
      <c r="K70" s="74"/>
      <c r="L70" s="74"/>
    </row>
    <row r="71" spans="1:21" x14ac:dyDescent="0.25">
      <c r="B71" s="74"/>
      <c r="C71" s="74"/>
      <c r="D71" s="74"/>
      <c r="E71" s="74"/>
      <c r="F71" s="116"/>
      <c r="G71" s="74"/>
      <c r="H71" s="74"/>
      <c r="I71" s="74"/>
      <c r="J71" s="74"/>
      <c r="K71" s="74"/>
      <c r="L71" s="74"/>
    </row>
  </sheetData>
  <mergeCells count="47">
    <mergeCell ref="A16:A41"/>
    <mergeCell ref="B56:R56"/>
    <mergeCell ref="C52:E52"/>
    <mergeCell ref="E16:E38"/>
    <mergeCell ref="B16:B41"/>
    <mergeCell ref="C16:C41"/>
    <mergeCell ref="D16:D41"/>
    <mergeCell ref="E39:E40"/>
    <mergeCell ref="M40:O40"/>
    <mergeCell ref="M41:O41"/>
    <mergeCell ref="G45:H45"/>
    <mergeCell ref="S13:U13"/>
    <mergeCell ref="V13:Y13"/>
    <mergeCell ref="S14:S15"/>
    <mergeCell ref="T14:T15"/>
    <mergeCell ref="S16:S42"/>
    <mergeCell ref="T16:T42"/>
    <mergeCell ref="U16:U42"/>
    <mergeCell ref="V16:V42"/>
    <mergeCell ref="W16:W42"/>
    <mergeCell ref="Y16:Y42"/>
    <mergeCell ref="V14:V15"/>
    <mergeCell ref="W14:W15"/>
    <mergeCell ref="X14:X15"/>
    <mergeCell ref="Y14:Y15"/>
    <mergeCell ref="X16:X42"/>
    <mergeCell ref="M13:R13"/>
    <mergeCell ref="B8:Y9"/>
    <mergeCell ref="B10:Y10"/>
    <mergeCell ref="B11:Y11"/>
    <mergeCell ref="A13:A15"/>
    <mergeCell ref="B13:B15"/>
    <mergeCell ref="C13:C15"/>
    <mergeCell ref="F13:F15"/>
    <mergeCell ref="L13:L15"/>
    <mergeCell ref="G13:G15"/>
    <mergeCell ref="H13:H15"/>
    <mergeCell ref="I13:I15"/>
    <mergeCell ref="D13:E15"/>
    <mergeCell ref="J13:J15"/>
    <mergeCell ref="K13:K15"/>
    <mergeCell ref="U14:U15"/>
    <mergeCell ref="B2:Y2"/>
    <mergeCell ref="B3:Y3"/>
    <mergeCell ref="B4:Y4"/>
    <mergeCell ref="B5:Y5"/>
    <mergeCell ref="B6:Y6"/>
  </mergeCells>
  <pageMargins left="0.19685039370078741" right="0.19685039370078741" top="0" bottom="0" header="0.31496062992125984" footer="0.31496062992125984"/>
  <pageSetup paperSize="9"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8"/>
  <sheetViews>
    <sheetView tabSelected="1" topLeftCell="G14" workbookViewId="0">
      <selection activeCell="K45" sqref="K45"/>
    </sheetView>
  </sheetViews>
  <sheetFormatPr defaultRowHeight="15" x14ac:dyDescent="0.25"/>
  <cols>
    <col min="1" max="1" width="3.5703125" style="1" customWidth="1"/>
    <col min="2" max="2" width="22.28515625" style="1" customWidth="1"/>
    <col min="3" max="3" width="5.5703125" style="1" customWidth="1"/>
    <col min="4" max="4" width="4.85546875" style="1" customWidth="1"/>
    <col min="5" max="5" width="11.28515625" style="1" customWidth="1"/>
    <col min="6" max="6" width="4.7109375" style="1" customWidth="1"/>
    <col min="7" max="7" width="8.85546875" style="1" customWidth="1"/>
    <col min="8" max="8" width="8.5703125" style="1" customWidth="1"/>
    <col min="9" max="9" width="9.140625" style="1" customWidth="1"/>
    <col min="10" max="10" width="8.7109375" style="1" customWidth="1"/>
    <col min="11" max="11" width="10.42578125" style="1" customWidth="1"/>
    <col min="12" max="12" width="10.28515625" style="1" customWidth="1"/>
    <col min="13" max="13" width="10.140625" style="1" customWidth="1"/>
    <col min="14" max="14" width="9.28515625" style="25" customWidth="1"/>
    <col min="15" max="15" width="9.42578125" style="25" customWidth="1"/>
    <col min="16" max="16" width="12.7109375" style="25" customWidth="1"/>
    <col min="17" max="17" width="15" style="25" customWidth="1"/>
    <col min="18" max="18" width="10.28515625" style="25" customWidth="1"/>
    <col min="19" max="19" width="11.85546875" style="25" customWidth="1"/>
    <col min="20" max="20" width="11" style="25" customWidth="1"/>
    <col min="21" max="21" width="0.5703125" style="1" hidden="1" customWidth="1"/>
    <col min="22" max="16384" width="9.140625" style="1"/>
  </cols>
  <sheetData>
    <row r="1" spans="1:21" hidden="1" x14ac:dyDescent="0.25"/>
    <row r="2" spans="1:21" ht="15" customHeight="1" x14ac:dyDescent="0.25">
      <c r="B2" s="245" t="s">
        <v>20</v>
      </c>
      <c r="C2" s="245"/>
      <c r="D2" s="245"/>
      <c r="E2" s="245"/>
      <c r="F2" s="245"/>
      <c r="G2" s="245"/>
      <c r="H2" s="245"/>
      <c r="I2" s="245"/>
      <c r="J2" s="245"/>
      <c r="K2" s="245"/>
      <c r="L2" s="245"/>
      <c r="M2" s="245"/>
      <c r="N2" s="245"/>
      <c r="O2" s="245"/>
      <c r="P2" s="245"/>
      <c r="Q2" s="245"/>
      <c r="R2" s="245"/>
      <c r="S2" s="245"/>
      <c r="T2" s="245"/>
      <c r="U2" s="245"/>
    </row>
    <row r="3" spans="1:21" ht="15" customHeight="1" x14ac:dyDescent="0.25">
      <c r="B3" s="245" t="s">
        <v>24</v>
      </c>
      <c r="C3" s="245"/>
      <c r="D3" s="245"/>
      <c r="E3" s="245"/>
      <c r="F3" s="245"/>
      <c r="G3" s="245"/>
      <c r="H3" s="245"/>
      <c r="I3" s="245"/>
      <c r="J3" s="245"/>
      <c r="K3" s="245"/>
      <c r="L3" s="245"/>
      <c r="M3" s="245"/>
      <c r="N3" s="245"/>
      <c r="O3" s="245"/>
      <c r="P3" s="245"/>
      <c r="Q3" s="245"/>
      <c r="R3" s="245"/>
      <c r="S3" s="245"/>
      <c r="T3" s="245"/>
      <c r="U3" s="245"/>
    </row>
    <row r="4" spans="1:21" ht="15.75" customHeight="1" thickBot="1" x14ac:dyDescent="0.3">
      <c r="B4" s="246" t="s">
        <v>109</v>
      </c>
      <c r="C4" s="246"/>
      <c r="D4" s="246"/>
      <c r="E4" s="246"/>
      <c r="F4" s="246"/>
      <c r="G4" s="246"/>
      <c r="H4" s="247"/>
      <c r="I4" s="247"/>
      <c r="J4" s="247"/>
      <c r="K4" s="247"/>
      <c r="L4" s="247"/>
      <c r="M4" s="247"/>
      <c r="N4" s="247"/>
      <c r="O4" s="247"/>
      <c r="P4" s="247"/>
      <c r="Q4" s="247"/>
      <c r="R4" s="247"/>
      <c r="S4" s="247"/>
      <c r="T4" s="247"/>
      <c r="U4" s="247"/>
    </row>
    <row r="5" spans="1:21" ht="18.75" customHeight="1" thickTop="1" x14ac:dyDescent="0.25">
      <c r="B5" s="248" t="s">
        <v>21</v>
      </c>
      <c r="C5" s="248"/>
      <c r="D5" s="248"/>
      <c r="E5" s="248"/>
      <c r="F5" s="248"/>
      <c r="G5" s="248"/>
      <c r="H5" s="248"/>
      <c r="I5" s="248"/>
      <c r="J5" s="248"/>
      <c r="K5" s="248"/>
      <c r="L5" s="248"/>
      <c r="M5" s="248"/>
      <c r="N5" s="248"/>
      <c r="O5" s="248"/>
      <c r="P5" s="248"/>
      <c r="Q5" s="248"/>
      <c r="R5" s="248"/>
      <c r="S5" s="248"/>
      <c r="T5" s="248"/>
      <c r="U5" s="248"/>
    </row>
    <row r="6" spans="1:21" ht="48" customHeight="1" x14ac:dyDescent="0.25">
      <c r="B6" s="248" t="s">
        <v>63</v>
      </c>
      <c r="C6" s="248"/>
      <c r="D6" s="248"/>
      <c r="E6" s="248"/>
      <c r="F6" s="248"/>
      <c r="G6" s="248"/>
      <c r="H6" s="248"/>
      <c r="I6" s="248"/>
      <c r="J6" s="248"/>
      <c r="K6" s="248"/>
      <c r="L6" s="248"/>
      <c r="M6" s="248"/>
      <c r="N6" s="248"/>
      <c r="O6" s="248"/>
      <c r="P6" s="248"/>
      <c r="Q6" s="248"/>
      <c r="R6" s="248"/>
      <c r="S6" s="248"/>
      <c r="T6" s="248"/>
      <c r="U6" s="248"/>
    </row>
    <row r="7" spans="1:21" ht="3" customHeight="1" x14ac:dyDescent="0.25">
      <c r="A7" s="29"/>
      <c r="B7" s="35"/>
      <c r="C7" s="35"/>
      <c r="D7" s="47"/>
      <c r="E7" s="35"/>
      <c r="F7" s="35"/>
      <c r="G7" s="35"/>
      <c r="H7" s="35"/>
      <c r="I7" s="35"/>
      <c r="J7" s="35"/>
      <c r="K7" s="40"/>
      <c r="L7" s="40"/>
      <c r="M7" s="40"/>
      <c r="N7" s="35"/>
      <c r="O7" s="35"/>
      <c r="P7" s="35"/>
      <c r="Q7" s="35"/>
      <c r="R7" s="35"/>
      <c r="S7" s="35"/>
      <c r="T7" s="35"/>
      <c r="U7" s="35"/>
    </row>
    <row r="8" spans="1:21" ht="14.25" hidden="1" customHeight="1" x14ac:dyDescent="0.25">
      <c r="B8" s="239" t="s">
        <v>17</v>
      </c>
      <c r="C8" s="240"/>
      <c r="D8" s="240"/>
      <c r="E8" s="240"/>
      <c r="F8" s="240"/>
      <c r="G8" s="240"/>
      <c r="H8" s="240"/>
      <c r="I8" s="240"/>
      <c r="J8" s="240"/>
      <c r="K8" s="240"/>
      <c r="L8" s="240"/>
      <c r="M8" s="240"/>
      <c r="N8" s="240"/>
      <c r="O8" s="240"/>
      <c r="P8" s="240"/>
      <c r="Q8" s="240"/>
      <c r="R8" s="240"/>
      <c r="S8" s="240"/>
      <c r="T8" s="240"/>
      <c r="U8" s="241"/>
    </row>
    <row r="9" spans="1:21" s="6" customFormat="1" ht="9.75" hidden="1" customHeight="1" x14ac:dyDescent="0.25">
      <c r="B9" s="242"/>
      <c r="C9" s="243"/>
      <c r="D9" s="243"/>
      <c r="E9" s="243"/>
      <c r="F9" s="243"/>
      <c r="G9" s="243"/>
      <c r="H9" s="243"/>
      <c r="I9" s="243"/>
      <c r="J9" s="243"/>
      <c r="K9" s="243"/>
      <c r="L9" s="243"/>
      <c r="M9" s="243"/>
      <c r="N9" s="243"/>
      <c r="O9" s="243"/>
      <c r="P9" s="243"/>
      <c r="Q9" s="243"/>
      <c r="R9" s="243"/>
      <c r="S9" s="243"/>
      <c r="T9" s="243"/>
      <c r="U9" s="244"/>
    </row>
    <row r="10" spans="1:21" s="6" customFormat="1" ht="15" hidden="1" customHeight="1" x14ac:dyDescent="0.25">
      <c r="B10" s="233" t="s">
        <v>67</v>
      </c>
      <c r="C10" s="234"/>
      <c r="D10" s="234"/>
      <c r="E10" s="234"/>
      <c r="F10" s="234"/>
      <c r="G10" s="234"/>
      <c r="H10" s="234"/>
      <c r="I10" s="234"/>
      <c r="J10" s="234"/>
      <c r="K10" s="234"/>
      <c r="L10" s="234"/>
      <c r="M10" s="234"/>
      <c r="N10" s="234"/>
      <c r="O10" s="234"/>
      <c r="P10" s="234"/>
      <c r="Q10" s="234"/>
      <c r="R10" s="234"/>
      <c r="S10" s="234"/>
      <c r="T10" s="234"/>
      <c r="U10" s="235"/>
    </row>
    <row r="11" spans="1:21" ht="19.5" x14ac:dyDescent="0.25">
      <c r="B11" s="236" t="s">
        <v>0</v>
      </c>
      <c r="C11" s="236"/>
      <c r="D11" s="236"/>
      <c r="E11" s="236"/>
      <c r="F11" s="236"/>
      <c r="G11" s="236"/>
      <c r="H11" s="236"/>
      <c r="I11" s="236"/>
      <c r="J11" s="236"/>
      <c r="K11" s="236"/>
      <c r="L11" s="236"/>
      <c r="M11" s="236"/>
      <c r="N11" s="236"/>
      <c r="O11" s="236"/>
      <c r="P11" s="236"/>
      <c r="Q11" s="236"/>
      <c r="R11" s="236"/>
      <c r="S11" s="236"/>
      <c r="T11" s="236"/>
      <c r="U11" s="236"/>
    </row>
    <row r="12" spans="1:21" ht="3" customHeight="1" x14ac:dyDescent="0.25"/>
    <row r="13" spans="1:21" ht="33.75" customHeight="1" x14ac:dyDescent="0.25">
      <c r="A13" s="143" t="s">
        <v>1</v>
      </c>
      <c r="B13" s="145" t="s">
        <v>2</v>
      </c>
      <c r="C13" s="145" t="s">
        <v>36</v>
      </c>
      <c r="D13" s="217" t="s">
        <v>37</v>
      </c>
      <c r="E13" s="218"/>
      <c r="F13" s="229" t="s">
        <v>65</v>
      </c>
      <c r="G13" s="218"/>
      <c r="H13" s="143"/>
      <c r="I13" s="143"/>
      <c r="J13" s="143"/>
      <c r="K13" s="38"/>
      <c r="L13" s="38"/>
      <c r="M13" s="38"/>
      <c r="N13" s="237" t="s">
        <v>5</v>
      </c>
      <c r="O13" s="237"/>
      <c r="P13" s="237"/>
      <c r="Q13" s="237" t="s">
        <v>12</v>
      </c>
      <c r="R13" s="237"/>
      <c r="S13" s="237"/>
      <c r="T13" s="237"/>
    </row>
    <row r="14" spans="1:21" ht="70.5" customHeight="1" x14ac:dyDescent="0.25">
      <c r="A14" s="143"/>
      <c r="B14" s="145"/>
      <c r="C14" s="145"/>
      <c r="D14" s="219"/>
      <c r="E14" s="220"/>
      <c r="F14" s="219"/>
      <c r="G14" s="220"/>
      <c r="H14" s="131" t="s">
        <v>94</v>
      </c>
      <c r="I14" s="131" t="s">
        <v>103</v>
      </c>
      <c r="J14" s="131" t="s">
        <v>95</v>
      </c>
      <c r="K14" s="131" t="s">
        <v>94</v>
      </c>
      <c r="L14" s="131" t="s">
        <v>103</v>
      </c>
      <c r="M14" s="131" t="s">
        <v>95</v>
      </c>
      <c r="N14" s="238" t="s">
        <v>64</v>
      </c>
      <c r="O14" s="238" t="s">
        <v>6</v>
      </c>
      <c r="P14" s="238" t="s">
        <v>8</v>
      </c>
      <c r="Q14" s="238" t="s">
        <v>9</v>
      </c>
      <c r="R14" s="238" t="s">
        <v>10</v>
      </c>
      <c r="S14" s="238" t="s">
        <v>15</v>
      </c>
      <c r="T14" s="238" t="s">
        <v>11</v>
      </c>
    </row>
    <row r="15" spans="1:21" ht="51.75" customHeight="1" x14ac:dyDescent="0.25">
      <c r="A15" s="143"/>
      <c r="B15" s="145"/>
      <c r="C15" s="145"/>
      <c r="D15" s="221"/>
      <c r="E15" s="220"/>
      <c r="F15" s="219"/>
      <c r="G15" s="220"/>
      <c r="H15" s="46" t="s">
        <v>81</v>
      </c>
      <c r="I15" s="46" t="s">
        <v>81</v>
      </c>
      <c r="J15" s="46" t="s">
        <v>81</v>
      </c>
      <c r="K15" s="39" t="s">
        <v>98</v>
      </c>
      <c r="L15" s="128" t="s">
        <v>98</v>
      </c>
      <c r="M15" s="128" t="s">
        <v>98</v>
      </c>
      <c r="N15" s="238"/>
      <c r="O15" s="238"/>
      <c r="P15" s="238"/>
      <c r="Q15" s="238"/>
      <c r="R15" s="238"/>
      <c r="S15" s="238"/>
      <c r="T15" s="238"/>
    </row>
    <row r="16" spans="1:21" ht="12" customHeight="1" x14ac:dyDescent="0.25">
      <c r="A16" s="226">
        <v>1</v>
      </c>
      <c r="B16" s="226" t="s">
        <v>35</v>
      </c>
      <c r="C16" s="226" t="s">
        <v>38</v>
      </c>
      <c r="D16" s="229">
        <v>290</v>
      </c>
      <c r="E16" s="213" t="s">
        <v>96</v>
      </c>
      <c r="F16" s="232">
        <v>15</v>
      </c>
      <c r="G16" s="174" t="s">
        <v>55</v>
      </c>
      <c r="H16" s="222">
        <v>1710</v>
      </c>
      <c r="I16" s="222">
        <v>3030</v>
      </c>
      <c r="J16" s="222">
        <v>2130</v>
      </c>
      <c r="K16" s="223">
        <f>H16*F16+H40*F40+H41*F41+H42*F42+F36*H36+F37*H37+F38*H38+F39*H39</f>
        <v>780550</v>
      </c>
      <c r="L16" s="223">
        <f>I16*F16+I40*F40+I41*F41+I42*F42+F36*I36+F37*I37+F38*I38+F39*I39</f>
        <v>1506550</v>
      </c>
      <c r="M16" s="223">
        <f>J16*F16+J40*F40+J41*F41+J42*F42+F36*J36+F37*J37+F38*J38+F39*J39</f>
        <v>1058525</v>
      </c>
      <c r="N16" s="214">
        <f>AVERAGE(K16:M42)/290</f>
        <v>3845.545977011494</v>
      </c>
      <c r="O16" s="214">
        <f>STDEV(K16:M42)/290</f>
        <v>1263.1178522921882</v>
      </c>
      <c r="P16" s="214">
        <f>O16/N16*100</f>
        <v>32.846255378119302</v>
      </c>
      <c r="Q16" s="214">
        <f>'Развернутое обоснование НМЦД'!V16</f>
        <v>1115208.3333333333</v>
      </c>
      <c r="R16" s="214">
        <f>'Развернутое обоснование НМЦД'!W16</f>
        <v>1115208.3333333333</v>
      </c>
      <c r="S16" s="214">
        <f>'Развернутое обоснование НМЦД'!X16</f>
        <v>1115208.3333333333</v>
      </c>
      <c r="T16" s="214">
        <f>'Развернутое обоснование НМЦД'!Y16</f>
        <v>1115208.3333333333</v>
      </c>
    </row>
    <row r="17" spans="1:20" ht="33" hidden="1" customHeight="1" x14ac:dyDescent="0.25">
      <c r="A17" s="227"/>
      <c r="B17" s="227"/>
      <c r="C17" s="227"/>
      <c r="D17" s="230"/>
      <c r="E17" s="213"/>
      <c r="F17" s="232"/>
      <c r="G17" s="174"/>
      <c r="H17" s="222"/>
      <c r="I17" s="222"/>
      <c r="J17" s="222"/>
      <c r="K17" s="224"/>
      <c r="L17" s="224"/>
      <c r="M17" s="224"/>
      <c r="N17" s="215"/>
      <c r="O17" s="215"/>
      <c r="P17" s="215"/>
      <c r="Q17" s="215"/>
      <c r="R17" s="215"/>
      <c r="S17" s="215"/>
      <c r="T17" s="215"/>
    </row>
    <row r="18" spans="1:20" ht="45" hidden="1" customHeight="1" x14ac:dyDescent="0.25">
      <c r="A18" s="227"/>
      <c r="B18" s="227"/>
      <c r="C18" s="227"/>
      <c r="D18" s="230"/>
      <c r="E18" s="213"/>
      <c r="F18" s="232"/>
      <c r="G18" s="174"/>
      <c r="H18" s="222"/>
      <c r="I18" s="222"/>
      <c r="J18" s="222"/>
      <c r="K18" s="224"/>
      <c r="L18" s="224"/>
      <c r="M18" s="224"/>
      <c r="N18" s="215"/>
      <c r="O18" s="215"/>
      <c r="P18" s="215"/>
      <c r="Q18" s="215"/>
      <c r="R18" s="215"/>
      <c r="S18" s="215"/>
      <c r="T18" s="215"/>
    </row>
    <row r="19" spans="1:20" ht="1.5" customHeight="1" x14ac:dyDescent="0.25">
      <c r="A19" s="227"/>
      <c r="B19" s="227"/>
      <c r="C19" s="227"/>
      <c r="D19" s="230"/>
      <c r="E19" s="213"/>
      <c r="F19" s="232"/>
      <c r="G19" s="174"/>
      <c r="H19" s="222"/>
      <c r="I19" s="222"/>
      <c r="J19" s="222"/>
      <c r="K19" s="224"/>
      <c r="L19" s="224"/>
      <c r="M19" s="224"/>
      <c r="N19" s="215"/>
      <c r="O19" s="215"/>
      <c r="P19" s="215"/>
      <c r="Q19" s="215"/>
      <c r="R19" s="215"/>
      <c r="S19" s="215"/>
      <c r="T19" s="215"/>
    </row>
    <row r="20" spans="1:20" ht="24" hidden="1" customHeight="1" x14ac:dyDescent="0.25">
      <c r="A20" s="227"/>
      <c r="B20" s="227"/>
      <c r="C20" s="227"/>
      <c r="D20" s="230"/>
      <c r="E20" s="213"/>
      <c r="F20" s="232"/>
      <c r="G20" s="174"/>
      <c r="H20" s="222"/>
      <c r="I20" s="222"/>
      <c r="J20" s="222"/>
      <c r="K20" s="224"/>
      <c r="L20" s="224"/>
      <c r="M20" s="224"/>
      <c r="N20" s="215"/>
      <c r="O20" s="215"/>
      <c r="P20" s="215"/>
      <c r="Q20" s="215"/>
      <c r="R20" s="215"/>
      <c r="S20" s="215"/>
      <c r="T20" s="215"/>
    </row>
    <row r="21" spans="1:20" ht="30" hidden="1" customHeight="1" x14ac:dyDescent="0.25">
      <c r="A21" s="227"/>
      <c r="B21" s="227"/>
      <c r="C21" s="227"/>
      <c r="D21" s="230"/>
      <c r="E21" s="213"/>
      <c r="F21" s="232"/>
      <c r="G21" s="174"/>
      <c r="H21" s="222"/>
      <c r="I21" s="222"/>
      <c r="J21" s="222"/>
      <c r="K21" s="224"/>
      <c r="L21" s="224"/>
      <c r="M21" s="224"/>
      <c r="N21" s="215"/>
      <c r="O21" s="215"/>
      <c r="P21" s="215"/>
      <c r="Q21" s="215"/>
      <c r="R21" s="215"/>
      <c r="S21" s="215"/>
      <c r="T21" s="215"/>
    </row>
    <row r="22" spans="1:20" ht="18" customHeight="1" x14ac:dyDescent="0.25">
      <c r="A22" s="227"/>
      <c r="B22" s="227"/>
      <c r="C22" s="227"/>
      <c r="D22" s="230"/>
      <c r="E22" s="213"/>
      <c r="F22" s="232"/>
      <c r="G22" s="174"/>
      <c r="H22" s="222"/>
      <c r="I22" s="222"/>
      <c r="J22" s="222"/>
      <c r="K22" s="224"/>
      <c r="L22" s="224"/>
      <c r="M22" s="224"/>
      <c r="N22" s="215"/>
      <c r="O22" s="215"/>
      <c r="P22" s="215"/>
      <c r="Q22" s="215"/>
      <c r="R22" s="215"/>
      <c r="S22" s="215"/>
      <c r="T22" s="215"/>
    </row>
    <row r="23" spans="1:20" ht="0.75" hidden="1" customHeight="1" x14ac:dyDescent="0.25">
      <c r="A23" s="227"/>
      <c r="B23" s="227"/>
      <c r="C23" s="227"/>
      <c r="D23" s="230"/>
      <c r="E23" s="213"/>
      <c r="F23" s="232"/>
      <c r="G23" s="174"/>
      <c r="H23" s="222"/>
      <c r="I23" s="222"/>
      <c r="J23" s="222"/>
      <c r="K23" s="224"/>
      <c r="L23" s="224"/>
      <c r="M23" s="224"/>
      <c r="N23" s="215"/>
      <c r="O23" s="215"/>
      <c r="P23" s="215"/>
      <c r="Q23" s="215"/>
      <c r="R23" s="215"/>
      <c r="S23" s="215"/>
      <c r="T23" s="215"/>
    </row>
    <row r="24" spans="1:20" ht="15.75" customHeight="1" x14ac:dyDescent="0.25">
      <c r="A24" s="227"/>
      <c r="B24" s="227"/>
      <c r="C24" s="227"/>
      <c r="D24" s="230"/>
      <c r="E24" s="213"/>
      <c r="F24" s="232"/>
      <c r="G24" s="174"/>
      <c r="H24" s="222"/>
      <c r="I24" s="222"/>
      <c r="J24" s="222"/>
      <c r="K24" s="224"/>
      <c r="L24" s="224"/>
      <c r="M24" s="224"/>
      <c r="N24" s="215"/>
      <c r="O24" s="215"/>
      <c r="P24" s="215"/>
      <c r="Q24" s="215"/>
      <c r="R24" s="215"/>
      <c r="S24" s="215"/>
      <c r="T24" s="215"/>
    </row>
    <row r="25" spans="1:20" ht="1.5" hidden="1" customHeight="1" x14ac:dyDescent="0.25">
      <c r="A25" s="227"/>
      <c r="B25" s="227"/>
      <c r="C25" s="227"/>
      <c r="D25" s="230"/>
      <c r="E25" s="213"/>
      <c r="F25" s="232"/>
      <c r="G25" s="53"/>
      <c r="H25" s="222"/>
      <c r="I25" s="222"/>
      <c r="J25" s="222"/>
      <c r="K25" s="224"/>
      <c r="L25" s="224"/>
      <c r="M25" s="224"/>
      <c r="N25" s="215"/>
      <c r="O25" s="215"/>
      <c r="P25" s="215"/>
      <c r="Q25" s="215"/>
      <c r="R25" s="215"/>
      <c r="S25" s="215"/>
      <c r="T25" s="215"/>
    </row>
    <row r="26" spans="1:20" ht="21.75" hidden="1" customHeight="1" x14ac:dyDescent="0.25">
      <c r="A26" s="227"/>
      <c r="B26" s="227"/>
      <c r="C26" s="227"/>
      <c r="D26" s="230"/>
      <c r="E26" s="213"/>
      <c r="F26" s="232"/>
      <c r="G26" s="53"/>
      <c r="H26" s="222"/>
      <c r="I26" s="222"/>
      <c r="J26" s="222"/>
      <c r="K26" s="224"/>
      <c r="L26" s="224"/>
      <c r="M26" s="224"/>
      <c r="N26" s="215"/>
      <c r="O26" s="215"/>
      <c r="P26" s="215"/>
      <c r="Q26" s="215"/>
      <c r="R26" s="215"/>
      <c r="S26" s="215"/>
      <c r="T26" s="215"/>
    </row>
    <row r="27" spans="1:20" ht="12" hidden="1" customHeight="1" x14ac:dyDescent="0.25">
      <c r="A27" s="227"/>
      <c r="B27" s="227"/>
      <c r="C27" s="227"/>
      <c r="D27" s="230"/>
      <c r="E27" s="213"/>
      <c r="F27" s="232"/>
      <c r="G27" s="53"/>
      <c r="H27" s="222"/>
      <c r="I27" s="222"/>
      <c r="J27" s="222"/>
      <c r="K27" s="224"/>
      <c r="L27" s="224"/>
      <c r="M27" s="224"/>
      <c r="N27" s="215"/>
      <c r="O27" s="215"/>
      <c r="P27" s="215"/>
      <c r="Q27" s="215"/>
      <c r="R27" s="215"/>
      <c r="S27" s="215"/>
      <c r="T27" s="215"/>
    </row>
    <row r="28" spans="1:20" ht="24" hidden="1" customHeight="1" x14ac:dyDescent="0.25">
      <c r="A28" s="227"/>
      <c r="B28" s="227"/>
      <c r="C28" s="227"/>
      <c r="D28" s="230"/>
      <c r="E28" s="213"/>
      <c r="F28" s="232"/>
      <c r="G28" s="53"/>
      <c r="H28" s="222"/>
      <c r="I28" s="222"/>
      <c r="J28" s="222"/>
      <c r="K28" s="224"/>
      <c r="L28" s="224"/>
      <c r="M28" s="224"/>
      <c r="N28" s="215"/>
      <c r="O28" s="215"/>
      <c r="P28" s="215"/>
      <c r="Q28" s="215"/>
      <c r="R28" s="215"/>
      <c r="S28" s="215"/>
      <c r="T28" s="215"/>
    </row>
    <row r="29" spans="1:20" ht="24" hidden="1" customHeight="1" x14ac:dyDescent="0.25">
      <c r="A29" s="227"/>
      <c r="B29" s="227"/>
      <c r="C29" s="227"/>
      <c r="D29" s="230"/>
      <c r="E29" s="213"/>
      <c r="F29" s="232"/>
      <c r="G29" s="53"/>
      <c r="H29" s="222"/>
      <c r="I29" s="222"/>
      <c r="J29" s="222"/>
      <c r="K29" s="224"/>
      <c r="L29" s="224"/>
      <c r="M29" s="224"/>
      <c r="N29" s="215"/>
      <c r="O29" s="215"/>
      <c r="P29" s="215"/>
      <c r="Q29" s="215"/>
      <c r="R29" s="215"/>
      <c r="S29" s="215"/>
      <c r="T29" s="215"/>
    </row>
    <row r="30" spans="1:20" ht="31.5" hidden="1" customHeight="1" x14ac:dyDescent="0.25">
      <c r="A30" s="227"/>
      <c r="B30" s="227"/>
      <c r="C30" s="227"/>
      <c r="D30" s="230"/>
      <c r="E30" s="213"/>
      <c r="F30" s="232"/>
      <c r="G30" s="53"/>
      <c r="H30" s="222"/>
      <c r="I30" s="222"/>
      <c r="J30" s="222"/>
      <c r="K30" s="224"/>
      <c r="L30" s="224"/>
      <c r="M30" s="224"/>
      <c r="N30" s="215"/>
      <c r="O30" s="215"/>
      <c r="P30" s="215"/>
      <c r="Q30" s="215"/>
      <c r="R30" s="215"/>
      <c r="S30" s="215"/>
      <c r="T30" s="215"/>
    </row>
    <row r="31" spans="1:20" ht="24" hidden="1" customHeight="1" x14ac:dyDescent="0.25">
      <c r="A31" s="227"/>
      <c r="B31" s="227"/>
      <c r="C31" s="227"/>
      <c r="D31" s="230"/>
      <c r="E31" s="213"/>
      <c r="F31" s="232"/>
      <c r="G31" s="53"/>
      <c r="H31" s="222"/>
      <c r="I31" s="222"/>
      <c r="J31" s="222"/>
      <c r="K31" s="224"/>
      <c r="L31" s="224"/>
      <c r="M31" s="224"/>
      <c r="N31" s="215"/>
      <c r="O31" s="215"/>
      <c r="P31" s="215"/>
      <c r="Q31" s="215"/>
      <c r="R31" s="215"/>
      <c r="S31" s="215"/>
      <c r="T31" s="215"/>
    </row>
    <row r="32" spans="1:20" ht="24" hidden="1" customHeight="1" x14ac:dyDescent="0.25">
      <c r="A32" s="227"/>
      <c r="B32" s="227"/>
      <c r="C32" s="227"/>
      <c r="D32" s="230"/>
      <c r="E32" s="213"/>
      <c r="F32" s="232"/>
      <c r="G32" s="53"/>
      <c r="H32" s="222"/>
      <c r="I32" s="222"/>
      <c r="J32" s="222"/>
      <c r="K32" s="224"/>
      <c r="L32" s="224"/>
      <c r="M32" s="224"/>
      <c r="N32" s="215"/>
      <c r="O32" s="215"/>
      <c r="P32" s="215"/>
      <c r="Q32" s="215"/>
      <c r="R32" s="215"/>
      <c r="S32" s="215"/>
      <c r="T32" s="215"/>
    </row>
    <row r="33" spans="1:30" ht="24" hidden="1" customHeight="1" x14ac:dyDescent="0.25">
      <c r="A33" s="227"/>
      <c r="B33" s="227"/>
      <c r="C33" s="227"/>
      <c r="D33" s="230"/>
      <c r="E33" s="213"/>
      <c r="F33" s="232"/>
      <c r="G33" s="53"/>
      <c r="H33" s="222"/>
      <c r="I33" s="222"/>
      <c r="J33" s="222"/>
      <c r="K33" s="224"/>
      <c r="L33" s="224"/>
      <c r="M33" s="224"/>
      <c r="N33" s="215"/>
      <c r="O33" s="215"/>
      <c r="P33" s="215"/>
      <c r="Q33" s="215"/>
      <c r="R33" s="215"/>
      <c r="S33" s="215"/>
      <c r="T33" s="215"/>
    </row>
    <row r="34" spans="1:30" ht="33.75" hidden="1" customHeight="1" x14ac:dyDescent="0.25">
      <c r="A34" s="227"/>
      <c r="B34" s="227"/>
      <c r="C34" s="227"/>
      <c r="D34" s="230"/>
      <c r="E34" s="213"/>
      <c r="F34" s="232"/>
      <c r="G34" s="53"/>
      <c r="H34" s="222"/>
      <c r="I34" s="222"/>
      <c r="J34" s="222"/>
      <c r="K34" s="224"/>
      <c r="L34" s="224"/>
      <c r="M34" s="224"/>
      <c r="N34" s="215"/>
      <c r="O34" s="215"/>
      <c r="P34" s="215"/>
      <c r="Q34" s="215"/>
      <c r="R34" s="215"/>
      <c r="S34" s="215"/>
      <c r="T34" s="215"/>
    </row>
    <row r="35" spans="1:30" ht="42.75" hidden="1" customHeight="1" x14ac:dyDescent="0.25">
      <c r="A35" s="227"/>
      <c r="B35" s="227"/>
      <c r="C35" s="227"/>
      <c r="D35" s="230"/>
      <c r="E35" s="213"/>
      <c r="F35" s="232"/>
      <c r="G35" s="53"/>
      <c r="H35" s="222"/>
      <c r="I35" s="222"/>
      <c r="J35" s="222"/>
      <c r="K35" s="224"/>
      <c r="L35" s="224"/>
      <c r="M35" s="224"/>
      <c r="N35" s="215"/>
      <c r="O35" s="215"/>
      <c r="P35" s="215"/>
      <c r="Q35" s="215"/>
      <c r="R35" s="215"/>
      <c r="S35" s="215"/>
      <c r="T35" s="215"/>
    </row>
    <row r="36" spans="1:30" ht="31.5" customHeight="1" x14ac:dyDescent="0.25">
      <c r="A36" s="227"/>
      <c r="B36" s="227"/>
      <c r="C36" s="227"/>
      <c r="D36" s="230"/>
      <c r="E36" s="213"/>
      <c r="F36" s="107">
        <v>20</v>
      </c>
      <c r="G36" s="53" t="str">
        <f t="shared" ref="G36:G38" si="0">G40</f>
        <v>мужчины после 40 лет</v>
      </c>
      <c r="H36" s="55">
        <v>1810</v>
      </c>
      <c r="I36" s="55">
        <v>3150</v>
      </c>
      <c r="J36" s="138">
        <v>2235</v>
      </c>
      <c r="K36" s="224"/>
      <c r="L36" s="224"/>
      <c r="M36" s="224"/>
      <c r="N36" s="215"/>
      <c r="O36" s="215"/>
      <c r="P36" s="215"/>
      <c r="Q36" s="215"/>
      <c r="R36" s="215"/>
      <c r="S36" s="215"/>
      <c r="T36" s="215"/>
    </row>
    <row r="37" spans="1:30" ht="27" customHeight="1" x14ac:dyDescent="0.25">
      <c r="A37" s="227"/>
      <c r="B37" s="227"/>
      <c r="C37" s="227"/>
      <c r="D37" s="230"/>
      <c r="E37" s="213"/>
      <c r="F37" s="107">
        <v>70</v>
      </c>
      <c r="G37" s="53" t="str">
        <f t="shared" si="0"/>
        <v>женщины до 40 лет</v>
      </c>
      <c r="H37" s="55">
        <v>2520</v>
      </c>
      <c r="I37" s="55">
        <v>4810</v>
      </c>
      <c r="J37" s="138">
        <v>3360</v>
      </c>
      <c r="K37" s="224"/>
      <c r="L37" s="224"/>
      <c r="M37" s="224"/>
      <c r="N37" s="215"/>
      <c r="O37" s="215"/>
      <c r="P37" s="215"/>
      <c r="Q37" s="215"/>
      <c r="R37" s="215"/>
      <c r="S37" s="215"/>
      <c r="T37" s="215"/>
    </row>
    <row r="38" spans="1:30" ht="21" customHeight="1" x14ac:dyDescent="0.25">
      <c r="A38" s="227"/>
      <c r="B38" s="227"/>
      <c r="C38" s="227"/>
      <c r="D38" s="230"/>
      <c r="E38" s="213"/>
      <c r="F38" s="107">
        <v>130</v>
      </c>
      <c r="G38" s="53" t="str">
        <f t="shared" si="0"/>
        <v>женщины после 40 лет</v>
      </c>
      <c r="H38" s="55">
        <v>2970</v>
      </c>
      <c r="I38" s="55">
        <v>5930</v>
      </c>
      <c r="J38" s="130">
        <v>4115</v>
      </c>
      <c r="K38" s="224"/>
      <c r="L38" s="224"/>
      <c r="M38" s="224"/>
      <c r="N38" s="215"/>
      <c r="O38" s="215"/>
      <c r="P38" s="215"/>
      <c r="Q38" s="215"/>
      <c r="R38" s="215"/>
      <c r="S38" s="215"/>
      <c r="T38" s="215"/>
    </row>
    <row r="39" spans="1:30" ht="22.5" customHeight="1" x14ac:dyDescent="0.25">
      <c r="A39" s="227"/>
      <c r="B39" s="227"/>
      <c r="C39" s="227"/>
      <c r="D39" s="230"/>
      <c r="E39" s="165" t="s">
        <v>97</v>
      </c>
      <c r="F39" s="107">
        <v>5</v>
      </c>
      <c r="G39" s="53" t="s">
        <v>55</v>
      </c>
      <c r="H39" s="55">
        <v>2110</v>
      </c>
      <c r="I39" s="55">
        <v>3660</v>
      </c>
      <c r="J39" s="55">
        <v>2730</v>
      </c>
      <c r="K39" s="224"/>
      <c r="L39" s="224"/>
      <c r="M39" s="224"/>
      <c r="N39" s="215"/>
      <c r="O39" s="215"/>
      <c r="P39" s="215"/>
      <c r="Q39" s="215"/>
      <c r="R39" s="215"/>
      <c r="S39" s="215"/>
      <c r="T39" s="215"/>
    </row>
    <row r="40" spans="1:30" ht="36" customHeight="1" x14ac:dyDescent="0.25">
      <c r="A40" s="227"/>
      <c r="B40" s="227"/>
      <c r="C40" s="227"/>
      <c r="D40" s="230"/>
      <c r="E40" s="165"/>
      <c r="F40" s="107">
        <v>10</v>
      </c>
      <c r="G40" s="53" t="s">
        <v>56</v>
      </c>
      <c r="H40" s="55">
        <v>2210</v>
      </c>
      <c r="I40" s="55">
        <v>3780</v>
      </c>
      <c r="J40" s="138">
        <v>2835</v>
      </c>
      <c r="K40" s="224"/>
      <c r="L40" s="224"/>
      <c r="M40" s="224"/>
      <c r="N40" s="215"/>
      <c r="O40" s="215"/>
      <c r="P40" s="215"/>
      <c r="Q40" s="215"/>
      <c r="R40" s="215"/>
      <c r="S40" s="215"/>
      <c r="T40" s="215"/>
    </row>
    <row r="41" spans="1:30" ht="32.25" customHeight="1" x14ac:dyDescent="0.25">
      <c r="A41" s="227"/>
      <c r="B41" s="227"/>
      <c r="C41" s="227"/>
      <c r="D41" s="230"/>
      <c r="E41" s="165"/>
      <c r="F41" s="107">
        <v>25</v>
      </c>
      <c r="G41" s="53" t="s">
        <v>57</v>
      </c>
      <c r="H41" s="55">
        <v>2920</v>
      </c>
      <c r="I41" s="55">
        <v>5440</v>
      </c>
      <c r="J41" s="55">
        <v>3960</v>
      </c>
      <c r="K41" s="224"/>
      <c r="L41" s="224"/>
      <c r="M41" s="224"/>
      <c r="N41" s="215"/>
      <c r="O41" s="215"/>
      <c r="P41" s="215"/>
      <c r="Q41" s="215"/>
      <c r="R41" s="215"/>
      <c r="S41" s="215"/>
      <c r="T41" s="215"/>
    </row>
    <row r="42" spans="1:30" ht="44.25" customHeight="1" x14ac:dyDescent="0.25">
      <c r="A42" s="228"/>
      <c r="B42" s="228"/>
      <c r="C42" s="228"/>
      <c r="D42" s="231"/>
      <c r="E42" s="165"/>
      <c r="F42" s="107">
        <v>15</v>
      </c>
      <c r="G42" s="53" t="s">
        <v>70</v>
      </c>
      <c r="H42" s="55">
        <v>3370</v>
      </c>
      <c r="I42" s="55">
        <v>6560</v>
      </c>
      <c r="J42" s="55">
        <v>4715</v>
      </c>
      <c r="K42" s="225"/>
      <c r="L42" s="225"/>
      <c r="M42" s="225"/>
      <c r="N42" s="216"/>
      <c r="O42" s="216"/>
      <c r="P42" s="216"/>
      <c r="Q42" s="216"/>
      <c r="R42" s="216"/>
      <c r="S42" s="216"/>
      <c r="T42" s="216"/>
    </row>
    <row r="43" spans="1:30" ht="16.5" hidden="1" customHeight="1" x14ac:dyDescent="0.25">
      <c r="A43" s="48"/>
      <c r="B43" s="48"/>
      <c r="C43" s="48"/>
      <c r="D43" s="48"/>
      <c r="E43" s="47"/>
      <c r="F43" s="47"/>
      <c r="G43" s="49"/>
      <c r="H43" s="50"/>
      <c r="I43" s="50"/>
      <c r="J43" s="50"/>
      <c r="K43" s="50"/>
      <c r="L43" s="50"/>
      <c r="M43" s="50"/>
      <c r="N43" s="51"/>
      <c r="O43" s="51"/>
      <c r="P43" s="51"/>
      <c r="Q43" s="51"/>
      <c r="R43" s="51"/>
      <c r="S43" s="51"/>
      <c r="T43" s="45"/>
    </row>
    <row r="44" spans="1:30" x14ac:dyDescent="0.25">
      <c r="H44" s="41"/>
      <c r="I44" s="41"/>
      <c r="J44" s="41"/>
      <c r="K44" s="41"/>
      <c r="L44" s="41"/>
      <c r="M44" s="41"/>
      <c r="N44" s="42"/>
      <c r="O44" s="42"/>
      <c r="T44" s="36">
        <f>T16+T40+T41+T42</f>
        <v>1115208.3333333333</v>
      </c>
    </row>
    <row r="45" spans="1:30" s="32" customFormat="1" x14ac:dyDescent="0.25">
      <c r="B45" s="73" t="s">
        <v>108</v>
      </c>
      <c r="F45" s="72"/>
      <c r="G45" s="211">
        <f>НМЦД!N50</f>
        <v>1115208.3333333333</v>
      </c>
      <c r="H45" s="211"/>
      <c r="I45" s="32" t="s">
        <v>105</v>
      </c>
      <c r="M45" s="73"/>
      <c r="N45" s="73"/>
      <c r="O45" s="73"/>
      <c r="S45" s="75"/>
      <c r="T45" s="75"/>
      <c r="U45" s="75"/>
      <c r="V45" s="75"/>
      <c r="W45" s="75"/>
      <c r="X45" s="75"/>
      <c r="Y45" s="75"/>
    </row>
    <row r="46" spans="1:30" ht="6.75" customHeight="1" x14ac:dyDescent="0.25">
      <c r="H46" s="30"/>
      <c r="N46" s="1"/>
      <c r="O46" s="1"/>
      <c r="P46" s="1"/>
      <c r="Q46" s="1"/>
      <c r="R46" s="1"/>
      <c r="S46" s="1"/>
      <c r="T46" s="1"/>
      <c r="X46" s="27"/>
      <c r="Y46" s="27"/>
      <c r="Z46" s="25"/>
      <c r="AA46" s="25"/>
      <c r="AB46" s="25"/>
      <c r="AC46" s="25"/>
      <c r="AD46" s="25"/>
    </row>
    <row r="47" spans="1:30" ht="18.75" x14ac:dyDescent="0.3">
      <c r="A47" s="7"/>
      <c r="B47" s="7" t="s">
        <v>14</v>
      </c>
      <c r="C47" s="3"/>
      <c r="D47" s="3"/>
      <c r="E47" s="3"/>
      <c r="F47" s="3"/>
      <c r="G47" s="3"/>
      <c r="H47" s="3"/>
      <c r="I47" s="3"/>
      <c r="J47" s="3"/>
      <c r="K47" s="3"/>
      <c r="L47" s="3"/>
      <c r="M47" s="3"/>
      <c r="N47" s="3"/>
      <c r="O47" s="3"/>
      <c r="P47" s="3"/>
      <c r="Q47" s="3"/>
      <c r="R47" s="3"/>
      <c r="S47" s="3"/>
      <c r="T47" s="3"/>
      <c r="U47" s="3"/>
      <c r="V47" s="3"/>
      <c r="W47" s="3"/>
      <c r="Z47" s="25"/>
      <c r="AA47" s="25"/>
      <c r="AB47" s="25"/>
      <c r="AC47" s="25"/>
      <c r="AD47" s="25"/>
    </row>
    <row r="48" spans="1:30" ht="15" hidden="1" customHeight="1" x14ac:dyDescent="0.25">
      <c r="N48" s="1"/>
      <c r="O48" s="1"/>
      <c r="P48" s="1"/>
      <c r="Q48" s="1"/>
      <c r="R48" s="1"/>
      <c r="S48" s="1"/>
      <c r="T48" s="1"/>
      <c r="Z48" s="25"/>
      <c r="AA48" s="25"/>
      <c r="AB48" s="25"/>
      <c r="AC48" s="25"/>
      <c r="AD48" s="25"/>
    </row>
    <row r="49" spans="1:30" ht="6" customHeight="1" x14ac:dyDescent="0.25">
      <c r="N49" s="1"/>
      <c r="O49" s="1"/>
      <c r="P49" s="1"/>
      <c r="Q49" s="1"/>
      <c r="R49" s="1"/>
      <c r="S49" s="1"/>
      <c r="T49" s="1"/>
      <c r="Z49" s="25"/>
      <c r="AA49" s="25"/>
      <c r="AB49" s="25"/>
      <c r="AC49" s="25"/>
      <c r="AD49" s="25"/>
    </row>
    <row r="50" spans="1:30" ht="24" customHeight="1" x14ac:dyDescent="0.25">
      <c r="C50" s="212" t="s">
        <v>62</v>
      </c>
      <c r="D50" s="212"/>
      <c r="E50" s="212"/>
      <c r="F50" s="212"/>
      <c r="G50" s="212"/>
      <c r="H50" s="212"/>
      <c r="I50" s="212"/>
      <c r="J50" s="212"/>
      <c r="K50" s="212"/>
      <c r="L50" s="212"/>
      <c r="M50" s="212"/>
      <c r="N50" s="212"/>
      <c r="O50" s="1" t="s">
        <v>53</v>
      </c>
      <c r="P50" s="1"/>
      <c r="Q50" s="1"/>
      <c r="R50" s="1"/>
      <c r="S50" s="1"/>
      <c r="T50" s="1"/>
      <c r="U50" s="11"/>
      <c r="X50" s="25"/>
      <c r="Z50" s="25"/>
      <c r="AA50" s="25"/>
      <c r="AB50" s="25"/>
      <c r="AC50" s="25"/>
      <c r="AD50" s="25"/>
    </row>
    <row r="51" spans="1:30" x14ac:dyDescent="0.25">
      <c r="F51" s="33"/>
      <c r="N51" s="1"/>
      <c r="O51" s="1"/>
      <c r="P51" s="1"/>
      <c r="Q51" s="1"/>
      <c r="R51" s="1"/>
      <c r="S51" s="1"/>
      <c r="T51" s="1"/>
      <c r="Z51" s="25"/>
      <c r="AA51" s="25"/>
      <c r="AB51" s="25"/>
      <c r="AC51" s="25"/>
      <c r="AD51" s="25"/>
    </row>
    <row r="52" spans="1:30" x14ac:dyDescent="0.25">
      <c r="C52" s="199">
        <v>46049</v>
      </c>
      <c r="D52" s="199"/>
      <c r="E52" s="199"/>
      <c r="N52" s="1"/>
      <c r="O52" s="1"/>
      <c r="P52" s="1"/>
    </row>
    <row r="53" spans="1:30" x14ac:dyDescent="0.25">
      <c r="C53" s="34" t="s">
        <v>99</v>
      </c>
      <c r="D53" s="34"/>
      <c r="N53" s="1"/>
      <c r="O53" s="1"/>
      <c r="P53" s="1"/>
    </row>
    <row r="54" spans="1:30" x14ac:dyDescent="0.25">
      <c r="N54" s="1"/>
      <c r="O54" s="1"/>
      <c r="P54" s="1"/>
      <c r="Q54" s="26"/>
      <c r="R54" s="26"/>
      <c r="S54" s="26"/>
      <c r="T54" s="26"/>
    </row>
    <row r="55" spans="1:30" ht="15" customHeight="1" x14ac:dyDescent="0.25">
      <c r="A55" s="29"/>
      <c r="B55" s="29"/>
      <c r="C55" s="29"/>
      <c r="D55" s="44"/>
      <c r="E55" s="29"/>
      <c r="F55" s="29"/>
      <c r="G55" s="29"/>
      <c r="H55" s="29"/>
      <c r="I55" s="29"/>
      <c r="J55" s="29"/>
      <c r="K55" s="37"/>
      <c r="L55" s="37"/>
      <c r="M55" s="37"/>
      <c r="N55" s="26"/>
      <c r="O55" s="26"/>
      <c r="Q55" s="26"/>
      <c r="R55" s="26"/>
      <c r="S55" s="26"/>
      <c r="T55" s="26"/>
    </row>
    <row r="56" spans="1:30" ht="15" customHeight="1" x14ac:dyDescent="0.25">
      <c r="A56" s="29"/>
      <c r="B56" s="29"/>
      <c r="C56" s="29"/>
      <c r="D56" s="44"/>
      <c r="E56" s="29"/>
      <c r="F56" s="29"/>
      <c r="G56" s="29"/>
      <c r="H56" s="29"/>
      <c r="I56" s="29"/>
      <c r="J56" s="29"/>
      <c r="K56" s="37"/>
      <c r="L56" s="37"/>
      <c r="M56" s="37"/>
      <c r="N56" s="26"/>
      <c r="O56" s="26"/>
      <c r="P56" s="26"/>
      <c r="Q56" s="26"/>
      <c r="R56" s="26"/>
      <c r="S56" s="26"/>
      <c r="T56" s="26"/>
    </row>
    <row r="57" spans="1:30" ht="15" customHeight="1" x14ac:dyDescent="0.25">
      <c r="A57" s="29"/>
      <c r="B57" s="29"/>
      <c r="C57" s="29"/>
      <c r="D57" s="44"/>
      <c r="E57" s="29"/>
      <c r="F57" s="29"/>
      <c r="G57" s="29"/>
      <c r="H57" s="29"/>
      <c r="I57" s="29"/>
      <c r="J57" s="29"/>
      <c r="K57" s="37"/>
      <c r="L57" s="37"/>
      <c r="M57" s="37"/>
      <c r="N57" s="26"/>
      <c r="O57" s="26"/>
      <c r="P57" s="26"/>
      <c r="Q57" s="26"/>
      <c r="R57" s="26"/>
      <c r="S57" s="26"/>
      <c r="T57" s="26"/>
    </row>
    <row r="58" spans="1:30" ht="15" customHeight="1" x14ac:dyDescent="0.25">
      <c r="A58" s="29"/>
      <c r="B58" s="29"/>
      <c r="C58" s="29"/>
      <c r="D58" s="44"/>
      <c r="E58" s="29"/>
      <c r="F58" s="29"/>
      <c r="G58" s="29"/>
      <c r="H58" s="29"/>
      <c r="I58" s="29"/>
      <c r="J58" s="29"/>
      <c r="K58" s="37"/>
      <c r="L58" s="37"/>
      <c r="M58" s="37"/>
      <c r="N58" s="26"/>
      <c r="O58" s="26"/>
      <c r="P58" s="26"/>
      <c r="Q58" s="26"/>
      <c r="R58" s="26"/>
      <c r="S58" s="26"/>
      <c r="T58" s="26"/>
    </row>
    <row r="59" spans="1:30" ht="15" customHeight="1" x14ac:dyDescent="0.25">
      <c r="A59" s="29"/>
      <c r="B59" s="29"/>
      <c r="C59" s="29"/>
      <c r="D59" s="44"/>
      <c r="E59" s="29"/>
      <c r="F59" s="29"/>
      <c r="G59" s="29"/>
      <c r="H59" s="29"/>
      <c r="I59" s="29"/>
      <c r="J59" s="29"/>
      <c r="K59" s="37"/>
      <c r="L59" s="37"/>
      <c r="M59" s="37"/>
      <c r="N59" s="26"/>
      <c r="O59" s="26"/>
      <c r="P59" s="26"/>
      <c r="Q59" s="26"/>
      <c r="R59" s="26"/>
      <c r="S59" s="26"/>
      <c r="T59" s="26"/>
    </row>
    <row r="60" spans="1:30" ht="15" customHeight="1" x14ac:dyDescent="0.25">
      <c r="A60" s="29"/>
      <c r="B60" s="29"/>
      <c r="C60" s="29"/>
      <c r="D60" s="44"/>
      <c r="E60" s="29"/>
      <c r="F60" s="29"/>
      <c r="G60" s="29"/>
      <c r="H60" s="29"/>
      <c r="I60" s="29"/>
      <c r="J60" s="29"/>
      <c r="K60" s="37"/>
      <c r="L60" s="37"/>
      <c r="M60" s="37"/>
      <c r="N60" s="26"/>
      <c r="O60" s="26"/>
      <c r="P60" s="26"/>
      <c r="Q60" s="26"/>
      <c r="R60" s="26"/>
      <c r="S60" s="26"/>
      <c r="T60" s="26"/>
    </row>
    <row r="61" spans="1:30" ht="15" customHeight="1" x14ac:dyDescent="0.25">
      <c r="A61" s="29"/>
      <c r="B61" s="29"/>
      <c r="C61" s="29"/>
      <c r="D61" s="44"/>
      <c r="E61" s="29"/>
      <c r="F61" s="29"/>
      <c r="G61" s="29"/>
      <c r="H61" s="29"/>
      <c r="I61" s="29"/>
      <c r="J61" s="29"/>
      <c r="K61" s="37"/>
      <c r="L61" s="37"/>
      <c r="M61" s="37"/>
      <c r="N61" s="26"/>
      <c r="O61" s="26"/>
      <c r="P61" s="26"/>
      <c r="Q61" s="26"/>
      <c r="R61" s="26"/>
      <c r="S61" s="26"/>
      <c r="T61" s="26"/>
    </row>
    <row r="62" spans="1:30" ht="15" customHeight="1" x14ac:dyDescent="0.25">
      <c r="A62" s="29"/>
      <c r="B62" s="29"/>
      <c r="C62" s="29"/>
      <c r="D62" s="44"/>
      <c r="E62" s="29"/>
      <c r="F62" s="29"/>
      <c r="G62" s="29"/>
      <c r="H62" s="29"/>
      <c r="I62" s="29"/>
      <c r="J62" s="29"/>
      <c r="K62" s="37"/>
      <c r="L62" s="37"/>
      <c r="M62" s="37"/>
      <c r="N62" s="26"/>
      <c r="O62" s="26"/>
      <c r="P62" s="26"/>
      <c r="Q62" s="26"/>
      <c r="R62" s="26"/>
      <c r="S62" s="26"/>
      <c r="T62" s="26"/>
    </row>
    <row r="63" spans="1:30" ht="15" customHeight="1" x14ac:dyDescent="0.25">
      <c r="A63" s="29"/>
      <c r="B63" s="29"/>
      <c r="C63" s="29"/>
      <c r="D63" s="44"/>
      <c r="E63" s="29"/>
      <c r="F63" s="29"/>
      <c r="G63" s="29"/>
      <c r="H63" s="29"/>
      <c r="I63" s="29"/>
      <c r="J63" s="29"/>
      <c r="K63" s="37"/>
      <c r="L63" s="37"/>
      <c r="M63" s="37"/>
      <c r="N63" s="26"/>
      <c r="O63" s="26"/>
      <c r="P63" s="26"/>
      <c r="Q63" s="26"/>
      <c r="R63" s="26"/>
      <c r="S63" s="26"/>
      <c r="T63" s="26"/>
    </row>
    <row r="64" spans="1:30" ht="15" customHeight="1" x14ac:dyDescent="0.25">
      <c r="A64" s="29"/>
      <c r="B64" s="29"/>
      <c r="C64" s="29"/>
      <c r="D64" s="44"/>
      <c r="E64" s="29"/>
      <c r="F64" s="29"/>
      <c r="G64" s="29"/>
      <c r="H64" s="29"/>
      <c r="I64" s="29"/>
      <c r="J64" s="29"/>
      <c r="K64" s="37"/>
      <c r="L64" s="37"/>
      <c r="M64" s="37"/>
    </row>
    <row r="65" spans="1:16" x14ac:dyDescent="0.25">
      <c r="N65" s="28"/>
    </row>
    <row r="67" spans="1:16" x14ac:dyDescent="0.25">
      <c r="N67" s="27"/>
      <c r="O67" s="27"/>
      <c r="P67" s="27"/>
    </row>
    <row r="68" spans="1:16" ht="18.75" x14ac:dyDescent="0.3">
      <c r="A68" s="7"/>
      <c r="B68" s="7"/>
      <c r="C68" s="7"/>
      <c r="D68" s="7"/>
      <c r="E68" s="7"/>
      <c r="F68" s="7"/>
      <c r="G68" s="7"/>
      <c r="H68" s="3"/>
      <c r="I68" s="3"/>
      <c r="J68" s="3"/>
      <c r="K68" s="3"/>
      <c r="L68" s="3"/>
      <c r="M68" s="3"/>
    </row>
  </sheetData>
  <mergeCells count="47">
    <mergeCell ref="B8:U9"/>
    <mergeCell ref="B2:U2"/>
    <mergeCell ref="B3:U3"/>
    <mergeCell ref="B4:U4"/>
    <mergeCell ref="B5:U5"/>
    <mergeCell ref="B6:U6"/>
    <mergeCell ref="B10:U10"/>
    <mergeCell ref="B11:U11"/>
    <mergeCell ref="A13:A15"/>
    <mergeCell ref="B13:B15"/>
    <mergeCell ref="C13:C15"/>
    <mergeCell ref="F13:G15"/>
    <mergeCell ref="H13:J13"/>
    <mergeCell ref="N13:P13"/>
    <mergeCell ref="Q13:T13"/>
    <mergeCell ref="T14:T15"/>
    <mergeCell ref="O14:O15"/>
    <mergeCell ref="P14:P15"/>
    <mergeCell ref="Q14:Q15"/>
    <mergeCell ref="R14:R15"/>
    <mergeCell ref="S14:S15"/>
    <mergeCell ref="N14:N15"/>
    <mergeCell ref="A16:A42"/>
    <mergeCell ref="B16:B42"/>
    <mergeCell ref="C16:C42"/>
    <mergeCell ref="D16:D42"/>
    <mergeCell ref="F16:F35"/>
    <mergeCell ref="S16:S42"/>
    <mergeCell ref="D13:E15"/>
    <mergeCell ref="T16:T42"/>
    <mergeCell ref="G16:G24"/>
    <mergeCell ref="H16:H35"/>
    <mergeCell ref="I16:I35"/>
    <mergeCell ref="J16:J35"/>
    <mergeCell ref="P16:P42"/>
    <mergeCell ref="O16:O42"/>
    <mergeCell ref="N16:N42"/>
    <mergeCell ref="Q16:Q42"/>
    <mergeCell ref="R16:R42"/>
    <mergeCell ref="K16:K42"/>
    <mergeCell ref="L16:L42"/>
    <mergeCell ref="M16:M42"/>
    <mergeCell ref="G45:H45"/>
    <mergeCell ref="C52:E52"/>
    <mergeCell ref="C50:N50"/>
    <mergeCell ref="E16:E38"/>
    <mergeCell ref="E39:E42"/>
  </mergeCells>
  <pageMargins left="0" right="0" top="0.15748031496062992" bottom="0.15748031496062992"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НМЦД</vt:lpstr>
      <vt:lpstr>Развернутое обоснование НМЦД</vt:lpstr>
      <vt:lpstr>Краткое обосн. НМЦД</vt:lpstr>
    </vt:vector>
  </TitlesOfParts>
  <Company>MultiDVD Team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PC1</cp:lastModifiedBy>
  <cp:lastPrinted>2026-01-27T14:00:30Z</cp:lastPrinted>
  <dcterms:created xsi:type="dcterms:W3CDTF">2015-12-15T05:37:13Z</dcterms:created>
  <dcterms:modified xsi:type="dcterms:W3CDTF">2026-01-28T12:50:04Z</dcterms:modified>
</cp:coreProperties>
</file>