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!!!\Disk-D\Закупки\РЭС Энерго\ОФС\"/>
    </mc:Choice>
  </mc:AlternateContent>
  <bookViews>
    <workbookView xWindow="0" yWindow="0" windowWidth="28800" windowHeight="12330"/>
  </bookViews>
  <sheets>
    <sheet name="Смета для ТЕР ЧР" sheetId="6" r:id="rId1"/>
    <sheet name="Акт КС-2 для ТЕР ЧР" sheetId="7" r:id="rId2"/>
    <sheet name="Макет форма-3" sheetId="8" r:id="rId3"/>
    <sheet name="Source" sheetId="1" r:id="rId4"/>
    <sheet name="SourceObSm" sheetId="2" r:id="rId5"/>
    <sheet name="SmtRes" sheetId="3" r:id="rId6"/>
    <sheet name="EtalonRes" sheetId="4" r:id="rId7"/>
    <sheet name="SrcKA" sheetId="5" r:id="rId8"/>
  </sheets>
  <definedNames>
    <definedName name="_xlnm.Print_Titles" localSheetId="1">'Акт КС-2 для ТЕР ЧР'!$34:$34</definedName>
    <definedName name="_xlnm.Print_Titles" localSheetId="0">'Смета для ТЕР ЧР'!$19:$19</definedName>
    <definedName name="_xlnm.Print_Area" localSheetId="1">'Акт КС-2 для ТЕР ЧР'!$A$1:$M$241</definedName>
    <definedName name="_xlnm.Print_Area" localSheetId="0">'Смета для ТЕР ЧР'!$A$1:$L$214</definedName>
  </definedNames>
  <calcPr calcId="162913" iterate="1"/>
</workbook>
</file>

<file path=xl/calcChain.xml><?xml version="1.0" encoding="utf-8"?>
<calcChain xmlns="http://schemas.openxmlformats.org/spreadsheetml/2006/main">
  <c r="J202" i="6" l="1"/>
  <c r="J201" i="6"/>
  <c r="J198" i="6"/>
  <c r="A1" i="8"/>
  <c r="I239" i="7"/>
  <c r="I235" i="7"/>
  <c r="D239" i="7"/>
  <c r="D235" i="7"/>
  <c r="K231" i="7"/>
  <c r="AM231" i="7"/>
  <c r="E231" i="7"/>
  <c r="D231" i="7"/>
  <c r="K230" i="7"/>
  <c r="AM230" i="7"/>
  <c r="E230" i="7"/>
  <c r="D230" i="7"/>
  <c r="K229" i="7"/>
  <c r="AM229" i="7"/>
  <c r="E229" i="7"/>
  <c r="D229" i="7"/>
  <c r="K228" i="7"/>
  <c r="D228" i="7"/>
  <c r="K227" i="7"/>
  <c r="D227" i="7"/>
  <c r="K226" i="7"/>
  <c r="D226" i="7"/>
  <c r="K225" i="7"/>
  <c r="D225" i="7"/>
  <c r="K224" i="7"/>
  <c r="D224" i="7"/>
  <c r="AG222" i="7"/>
  <c r="A222" i="7"/>
  <c r="K219" i="7"/>
  <c r="AM219" i="7"/>
  <c r="E219" i="7"/>
  <c r="D219" i="7"/>
  <c r="K218" i="7"/>
  <c r="AM218" i="7"/>
  <c r="E218" i="7"/>
  <c r="D218" i="7"/>
  <c r="K217" i="7"/>
  <c r="AM217" i="7"/>
  <c r="E217" i="7"/>
  <c r="D217" i="7"/>
  <c r="K216" i="7"/>
  <c r="D216" i="7"/>
  <c r="K215" i="7"/>
  <c r="D215" i="7"/>
  <c r="K214" i="7"/>
  <c r="D214" i="7"/>
  <c r="K213" i="7"/>
  <c r="D213" i="7"/>
  <c r="K212" i="7"/>
  <c r="D212" i="7"/>
  <c r="AG210" i="7"/>
  <c r="A210" i="7"/>
  <c r="Z208" i="7"/>
  <c r="Y208" i="7"/>
  <c r="X208" i="7"/>
  <c r="O208" i="7"/>
  <c r="M208" i="7"/>
  <c r="Q208" i="7" s="1"/>
  <c r="K208" i="7"/>
  <c r="P208" i="7" s="1"/>
  <c r="H208" i="7"/>
  <c r="W208" i="7" s="1"/>
  <c r="L207" i="7"/>
  <c r="K207" i="7"/>
  <c r="I207" i="7"/>
  <c r="H207" i="7"/>
  <c r="G207" i="7"/>
  <c r="V206" i="7"/>
  <c r="T206" i="7"/>
  <c r="U206" i="7"/>
  <c r="S206" i="7"/>
  <c r="G206" i="7"/>
  <c r="F206" i="7"/>
  <c r="E206" i="7"/>
  <c r="J206" i="7"/>
  <c r="C206" i="7"/>
  <c r="B206" i="7"/>
  <c r="Z205" i="7"/>
  <c r="Y205" i="7"/>
  <c r="X205" i="7"/>
  <c r="P205" i="7"/>
  <c r="O205" i="7"/>
  <c r="M205" i="7"/>
  <c r="Q205" i="7" s="1"/>
  <c r="K205" i="7"/>
  <c r="H205" i="7"/>
  <c r="W205" i="7" s="1"/>
  <c r="L204" i="7"/>
  <c r="K204" i="7"/>
  <c r="I204" i="7"/>
  <c r="H204" i="7"/>
  <c r="G204" i="7"/>
  <c r="V203" i="7"/>
  <c r="T203" i="7"/>
  <c r="U203" i="7"/>
  <c r="S203" i="7"/>
  <c r="G203" i="7"/>
  <c r="F203" i="7"/>
  <c r="E203" i="7"/>
  <c r="J203" i="7"/>
  <c r="C203" i="7"/>
  <c r="B203" i="7"/>
  <c r="Z202" i="7"/>
  <c r="Y202" i="7"/>
  <c r="X202" i="7"/>
  <c r="Q202" i="7"/>
  <c r="P202" i="7"/>
  <c r="M202" i="7"/>
  <c r="K202" i="7"/>
  <c r="H202" i="7"/>
  <c r="O202" i="7" s="1"/>
  <c r="L201" i="7"/>
  <c r="K201" i="7"/>
  <c r="I201" i="7"/>
  <c r="H201" i="7"/>
  <c r="G201" i="7"/>
  <c r="V200" i="7"/>
  <c r="T200" i="7"/>
  <c r="U200" i="7"/>
  <c r="S200" i="7"/>
  <c r="G200" i="7"/>
  <c r="F200" i="7"/>
  <c r="E200" i="7"/>
  <c r="J200" i="7"/>
  <c r="C200" i="7"/>
  <c r="B200" i="7"/>
  <c r="Z199" i="7"/>
  <c r="Y199" i="7"/>
  <c r="X199" i="7"/>
  <c r="Q199" i="7"/>
  <c r="M199" i="7"/>
  <c r="K199" i="7"/>
  <c r="P199" i="7" s="1"/>
  <c r="H199" i="7"/>
  <c r="W199" i="7" s="1"/>
  <c r="L198" i="7"/>
  <c r="K198" i="7"/>
  <c r="I198" i="7"/>
  <c r="H198" i="7"/>
  <c r="G198" i="7"/>
  <c r="V197" i="7"/>
  <c r="T197" i="7"/>
  <c r="U197" i="7"/>
  <c r="S197" i="7"/>
  <c r="G197" i="7"/>
  <c r="F197" i="7"/>
  <c r="E197" i="7"/>
  <c r="J197" i="7"/>
  <c r="C197" i="7"/>
  <c r="B197" i="7"/>
  <c r="Z196" i="7"/>
  <c r="Y196" i="7"/>
  <c r="X196" i="7"/>
  <c r="M196" i="7"/>
  <c r="Q196" i="7" s="1"/>
  <c r="K196" i="7"/>
  <c r="P196" i="7" s="1"/>
  <c r="H196" i="7"/>
  <c r="W196" i="7" s="1"/>
  <c r="L195" i="7"/>
  <c r="K195" i="7"/>
  <c r="I195" i="7"/>
  <c r="H195" i="7"/>
  <c r="G195" i="7"/>
  <c r="V194" i="7"/>
  <c r="T194" i="7"/>
  <c r="U194" i="7"/>
  <c r="S194" i="7"/>
  <c r="G194" i="7"/>
  <c r="F194" i="7"/>
  <c r="E194" i="7"/>
  <c r="J194" i="7"/>
  <c r="C194" i="7"/>
  <c r="B194" i="7"/>
  <c r="Z193" i="7"/>
  <c r="Y193" i="7"/>
  <c r="X193" i="7"/>
  <c r="W193" i="7"/>
  <c r="O193" i="7"/>
  <c r="M193" i="7"/>
  <c r="Q193" i="7" s="1"/>
  <c r="K193" i="7"/>
  <c r="P193" i="7" s="1"/>
  <c r="H193" i="7"/>
  <c r="L192" i="7"/>
  <c r="K192" i="7"/>
  <c r="I192" i="7"/>
  <c r="H192" i="7"/>
  <c r="G192" i="7"/>
  <c r="V191" i="7"/>
  <c r="T191" i="7"/>
  <c r="U191" i="7"/>
  <c r="S191" i="7"/>
  <c r="G191" i="7"/>
  <c r="F191" i="7"/>
  <c r="E191" i="7"/>
  <c r="J191" i="7"/>
  <c r="C191" i="7"/>
  <c r="B191" i="7"/>
  <c r="Z190" i="7"/>
  <c r="Y190" i="7"/>
  <c r="X190" i="7"/>
  <c r="W190" i="7"/>
  <c r="P190" i="7"/>
  <c r="O190" i="7"/>
  <c r="M190" i="7"/>
  <c r="Q190" i="7" s="1"/>
  <c r="K190" i="7"/>
  <c r="H190" i="7"/>
  <c r="L189" i="7"/>
  <c r="K189" i="7"/>
  <c r="I189" i="7"/>
  <c r="H189" i="7"/>
  <c r="G189" i="7"/>
  <c r="V188" i="7"/>
  <c r="T188" i="7"/>
  <c r="U188" i="7"/>
  <c r="S188" i="7"/>
  <c r="G188" i="7"/>
  <c r="F188" i="7"/>
  <c r="E188" i="7"/>
  <c r="J188" i="7"/>
  <c r="C188" i="7"/>
  <c r="B188" i="7"/>
  <c r="Z187" i="7"/>
  <c r="Y187" i="7"/>
  <c r="X187" i="7"/>
  <c r="W187" i="7"/>
  <c r="Q187" i="7"/>
  <c r="P187" i="7"/>
  <c r="O187" i="7"/>
  <c r="M187" i="7"/>
  <c r="K187" i="7"/>
  <c r="H187" i="7"/>
  <c r="L186" i="7"/>
  <c r="K186" i="7"/>
  <c r="I186" i="7"/>
  <c r="H186" i="7"/>
  <c r="G186" i="7"/>
  <c r="V185" i="7"/>
  <c r="T185" i="7"/>
  <c r="U185" i="7"/>
  <c r="S185" i="7"/>
  <c r="G185" i="7"/>
  <c r="F185" i="7"/>
  <c r="E185" i="7"/>
  <c r="J185" i="7"/>
  <c r="C185" i="7"/>
  <c r="B185" i="7"/>
  <c r="Z184" i="7"/>
  <c r="Y184" i="7"/>
  <c r="X184" i="7"/>
  <c r="W184" i="7"/>
  <c r="Q184" i="7"/>
  <c r="P184" i="7"/>
  <c r="M184" i="7"/>
  <c r="K184" i="7"/>
  <c r="H184" i="7"/>
  <c r="O184" i="7" s="1"/>
  <c r="L183" i="7"/>
  <c r="K183" i="7"/>
  <c r="I183" i="7"/>
  <c r="H183" i="7"/>
  <c r="G183" i="7"/>
  <c r="V182" i="7"/>
  <c r="T182" i="7"/>
  <c r="U182" i="7"/>
  <c r="S182" i="7"/>
  <c r="G182" i="7"/>
  <c r="F182" i="7"/>
  <c r="E182" i="7"/>
  <c r="J182" i="7"/>
  <c r="C182" i="7"/>
  <c r="B182" i="7"/>
  <c r="Z181" i="7"/>
  <c r="Y181" i="7"/>
  <c r="X181" i="7"/>
  <c r="W181" i="7"/>
  <c r="Q181" i="7"/>
  <c r="M181" i="7"/>
  <c r="K181" i="7"/>
  <c r="P181" i="7" s="1"/>
  <c r="H181" i="7"/>
  <c r="O181" i="7" s="1"/>
  <c r="L180" i="7"/>
  <c r="K180" i="7"/>
  <c r="I180" i="7"/>
  <c r="H180" i="7"/>
  <c r="G180" i="7"/>
  <c r="V179" i="7"/>
  <c r="T179" i="7"/>
  <c r="U179" i="7"/>
  <c r="S179" i="7"/>
  <c r="G179" i="7"/>
  <c r="F179" i="7"/>
  <c r="E179" i="7"/>
  <c r="J179" i="7"/>
  <c r="D179" i="7"/>
  <c r="C179" i="7"/>
  <c r="B179" i="7"/>
  <c r="Z178" i="7"/>
  <c r="Y178" i="7"/>
  <c r="X178" i="7"/>
  <c r="M178" i="7"/>
  <c r="Q178" i="7" s="1"/>
  <c r="K178" i="7"/>
  <c r="P178" i="7" s="1"/>
  <c r="H178" i="7"/>
  <c r="W178" i="7" s="1"/>
  <c r="L177" i="7"/>
  <c r="K177" i="7"/>
  <c r="I177" i="7"/>
  <c r="H177" i="7"/>
  <c r="G177" i="7"/>
  <c r="V176" i="7"/>
  <c r="T176" i="7"/>
  <c r="U176" i="7"/>
  <c r="S176" i="7"/>
  <c r="G176" i="7"/>
  <c r="F176" i="7"/>
  <c r="E176" i="7"/>
  <c r="J176" i="7"/>
  <c r="C176" i="7"/>
  <c r="B176" i="7"/>
  <c r="Z175" i="7"/>
  <c r="Y175" i="7"/>
  <c r="X175" i="7"/>
  <c r="O175" i="7"/>
  <c r="M175" i="7"/>
  <c r="Q175" i="7" s="1"/>
  <c r="K175" i="7"/>
  <c r="P175" i="7" s="1"/>
  <c r="H175" i="7"/>
  <c r="W175" i="7" s="1"/>
  <c r="L174" i="7"/>
  <c r="K174" i="7"/>
  <c r="I174" i="7"/>
  <c r="H174" i="7"/>
  <c r="G174" i="7"/>
  <c r="V173" i="7"/>
  <c r="T173" i="7"/>
  <c r="U173" i="7"/>
  <c r="S173" i="7"/>
  <c r="G173" i="7"/>
  <c r="F173" i="7"/>
  <c r="E173" i="7"/>
  <c r="J173" i="7"/>
  <c r="C173" i="7"/>
  <c r="B173" i="7"/>
  <c r="Z172" i="7"/>
  <c r="Y172" i="7"/>
  <c r="X172" i="7"/>
  <c r="P172" i="7"/>
  <c r="O172" i="7"/>
  <c r="M172" i="7"/>
  <c r="Q172" i="7" s="1"/>
  <c r="K172" i="7"/>
  <c r="H172" i="7"/>
  <c r="W172" i="7" s="1"/>
  <c r="L171" i="7"/>
  <c r="K171" i="7"/>
  <c r="I171" i="7"/>
  <c r="H171" i="7"/>
  <c r="G171" i="7"/>
  <c r="V170" i="7"/>
  <c r="T170" i="7"/>
  <c r="U170" i="7"/>
  <c r="S170" i="7"/>
  <c r="G170" i="7"/>
  <c r="F170" i="7"/>
  <c r="E170" i="7"/>
  <c r="J170" i="7"/>
  <c r="C170" i="7"/>
  <c r="B170" i="7"/>
  <c r="Y169" i="7"/>
  <c r="X169" i="7"/>
  <c r="W169" i="7"/>
  <c r="Q169" i="7"/>
  <c r="M169" i="7"/>
  <c r="L167" i="7"/>
  <c r="I167" i="7"/>
  <c r="M168" i="7"/>
  <c r="H168" i="7"/>
  <c r="F168" i="7"/>
  <c r="K167" i="7"/>
  <c r="F167" i="7"/>
  <c r="K166" i="7"/>
  <c r="F166" i="7"/>
  <c r="L165" i="7"/>
  <c r="K165" i="7"/>
  <c r="R165" i="7"/>
  <c r="I165" i="7"/>
  <c r="H165" i="7"/>
  <c r="G165" i="7"/>
  <c r="V164" i="7"/>
  <c r="T164" i="7"/>
  <c r="L166" i="7" s="1"/>
  <c r="K169" i="7" s="1"/>
  <c r="P169" i="7" s="1"/>
  <c r="U164" i="7"/>
  <c r="S164" i="7"/>
  <c r="I166" i="7" s="1"/>
  <c r="H169" i="7" s="1"/>
  <c r="G164" i="7"/>
  <c r="F164" i="7"/>
  <c r="E164" i="7"/>
  <c r="J164" i="7"/>
  <c r="D164" i="7"/>
  <c r="C164" i="7"/>
  <c r="B164" i="7"/>
  <c r="Z163" i="7"/>
  <c r="Y163" i="7"/>
  <c r="X163" i="7"/>
  <c r="M163" i="7"/>
  <c r="Q163" i="7" s="1"/>
  <c r="M162" i="7"/>
  <c r="H162" i="7"/>
  <c r="F162" i="7"/>
  <c r="K161" i="7"/>
  <c r="F161" i="7"/>
  <c r="K160" i="7"/>
  <c r="F160" i="7"/>
  <c r="L159" i="7"/>
  <c r="K159" i="7"/>
  <c r="I159" i="7"/>
  <c r="H159" i="7"/>
  <c r="G159" i="7"/>
  <c r="L158" i="7"/>
  <c r="K158" i="7"/>
  <c r="I158" i="7"/>
  <c r="H158" i="7"/>
  <c r="G158" i="7"/>
  <c r="L157" i="7"/>
  <c r="K157" i="7"/>
  <c r="R157" i="7"/>
  <c r="I157" i="7"/>
  <c r="H157" i="7"/>
  <c r="G157" i="7"/>
  <c r="D156" i="7"/>
  <c r="V155" i="7"/>
  <c r="L161" i="7" s="1"/>
  <c r="T155" i="7"/>
  <c r="L160" i="7" s="1"/>
  <c r="K163" i="7" s="1"/>
  <c r="P163" i="7" s="1"/>
  <c r="U155" i="7"/>
  <c r="I161" i="7" s="1"/>
  <c r="S155" i="7"/>
  <c r="I160" i="7" s="1"/>
  <c r="H163" i="7" s="1"/>
  <c r="G155" i="7"/>
  <c r="F155" i="7"/>
  <c r="E155" i="7"/>
  <c r="J155" i="7"/>
  <c r="D155" i="7"/>
  <c r="C155" i="7"/>
  <c r="B155" i="7"/>
  <c r="Z154" i="7"/>
  <c r="Y154" i="7"/>
  <c r="W154" i="7"/>
  <c r="M154" i="7"/>
  <c r="Q154" i="7" s="1"/>
  <c r="L151" i="7"/>
  <c r="I151" i="7"/>
  <c r="H154" i="7" s="1"/>
  <c r="M153" i="7"/>
  <c r="H153" i="7"/>
  <c r="F153" i="7"/>
  <c r="K152" i="7"/>
  <c r="F152" i="7"/>
  <c r="K151" i="7"/>
  <c r="F151" i="7"/>
  <c r="L150" i="7"/>
  <c r="K150" i="7"/>
  <c r="I150" i="7"/>
  <c r="H150" i="7"/>
  <c r="G150" i="7"/>
  <c r="L149" i="7"/>
  <c r="K149" i="7"/>
  <c r="I149" i="7"/>
  <c r="R149" i="7" s="1"/>
  <c r="H149" i="7"/>
  <c r="G149" i="7"/>
  <c r="D148" i="7"/>
  <c r="V147" i="7"/>
  <c r="L152" i="7" s="1"/>
  <c r="K154" i="7" s="1"/>
  <c r="P154" i="7" s="1"/>
  <c r="T147" i="7"/>
  <c r="U147" i="7"/>
  <c r="I152" i="7" s="1"/>
  <c r="S147" i="7"/>
  <c r="G147" i="7"/>
  <c r="F147" i="7"/>
  <c r="E147" i="7"/>
  <c r="J147" i="7"/>
  <c r="D147" i="7"/>
  <c r="C147" i="7"/>
  <c r="B147" i="7"/>
  <c r="Z146" i="7"/>
  <c r="Y146" i="7"/>
  <c r="W146" i="7"/>
  <c r="M146" i="7"/>
  <c r="Q146" i="7" s="1"/>
  <c r="AB145" i="7"/>
  <c r="L145" i="7"/>
  <c r="K145" i="7"/>
  <c r="Y145" i="7"/>
  <c r="AA145" i="7"/>
  <c r="I145" i="7"/>
  <c r="G145" i="7"/>
  <c r="V145" i="7"/>
  <c r="T145" i="7"/>
  <c r="U145" i="7"/>
  <c r="I143" i="7" s="1"/>
  <c r="S145" i="7"/>
  <c r="F145" i="7"/>
  <c r="E145" i="7"/>
  <c r="D145" i="7"/>
  <c r="C145" i="7"/>
  <c r="B145" i="7"/>
  <c r="M144" i="7"/>
  <c r="H144" i="7"/>
  <c r="F144" i="7"/>
  <c r="K143" i="7"/>
  <c r="F143" i="7"/>
  <c r="K142" i="7"/>
  <c r="F142" i="7"/>
  <c r="L141" i="7"/>
  <c r="K141" i="7"/>
  <c r="I141" i="7"/>
  <c r="H141" i="7"/>
  <c r="G141" i="7"/>
  <c r="L140" i="7"/>
  <c r="K140" i="7"/>
  <c r="I140" i="7"/>
  <c r="R140" i="7" s="1"/>
  <c r="H140" i="7"/>
  <c r="G140" i="7"/>
  <c r="L139" i="7"/>
  <c r="K139" i="7"/>
  <c r="I139" i="7"/>
  <c r="H139" i="7"/>
  <c r="G139" i="7"/>
  <c r="L138" i="7"/>
  <c r="K138" i="7"/>
  <c r="R138" i="7"/>
  <c r="I138" i="7"/>
  <c r="H138" i="7"/>
  <c r="G138" i="7"/>
  <c r="V137" i="7"/>
  <c r="L143" i="7" s="1"/>
  <c r="T137" i="7"/>
  <c r="L142" i="7" s="1"/>
  <c r="K146" i="7" s="1"/>
  <c r="P146" i="7" s="1"/>
  <c r="U137" i="7"/>
  <c r="S137" i="7"/>
  <c r="I142" i="7" s="1"/>
  <c r="G137" i="7"/>
  <c r="F137" i="7"/>
  <c r="E137" i="7"/>
  <c r="J137" i="7"/>
  <c r="D137" i="7"/>
  <c r="C137" i="7"/>
  <c r="B137" i="7"/>
  <c r="Z136" i="7"/>
  <c r="Y136" i="7"/>
  <c r="W136" i="7"/>
  <c r="M136" i="7"/>
  <c r="Q136" i="7" s="1"/>
  <c r="I129" i="7"/>
  <c r="H136" i="7" s="1"/>
  <c r="AB135" i="7"/>
  <c r="L135" i="7"/>
  <c r="K135" i="7"/>
  <c r="Y135" i="7"/>
  <c r="AA135" i="7"/>
  <c r="I135" i="7"/>
  <c r="G135" i="7"/>
  <c r="V135" i="7"/>
  <c r="T135" i="7"/>
  <c r="U135" i="7"/>
  <c r="S135" i="7"/>
  <c r="F135" i="7"/>
  <c r="E135" i="7"/>
  <c r="D135" i="7"/>
  <c r="C135" i="7"/>
  <c r="B135" i="7"/>
  <c r="AB134" i="7"/>
  <c r="L134" i="7"/>
  <c r="K134" i="7"/>
  <c r="Y134" i="7"/>
  <c r="AA134" i="7"/>
  <c r="I134" i="7"/>
  <c r="G134" i="7"/>
  <c r="V134" i="7"/>
  <c r="T134" i="7"/>
  <c r="U134" i="7"/>
  <c r="S134" i="7"/>
  <c r="F134" i="7"/>
  <c r="E134" i="7"/>
  <c r="D134" i="7"/>
  <c r="C134" i="7"/>
  <c r="B134" i="7"/>
  <c r="AB133" i="7"/>
  <c r="L133" i="7"/>
  <c r="K133" i="7"/>
  <c r="Y133" i="7"/>
  <c r="AA133" i="7"/>
  <c r="I133" i="7"/>
  <c r="G133" i="7"/>
  <c r="V133" i="7"/>
  <c r="T133" i="7"/>
  <c r="U133" i="7"/>
  <c r="S133" i="7"/>
  <c r="F133" i="7"/>
  <c r="E133" i="7"/>
  <c r="D133" i="7"/>
  <c r="C133" i="7"/>
  <c r="B133" i="7"/>
  <c r="AB132" i="7"/>
  <c r="L132" i="7"/>
  <c r="K132" i="7"/>
  <c r="Y132" i="7"/>
  <c r="AA132" i="7"/>
  <c r="I132" i="7"/>
  <c r="G132" i="7"/>
  <c r="V132" i="7"/>
  <c r="T132" i="7"/>
  <c r="U132" i="7"/>
  <c r="S132" i="7"/>
  <c r="F132" i="7"/>
  <c r="E132" i="7"/>
  <c r="D132" i="7"/>
  <c r="C132" i="7"/>
  <c r="B132" i="7"/>
  <c r="M131" i="7"/>
  <c r="H131" i="7"/>
  <c r="F131" i="7"/>
  <c r="K130" i="7"/>
  <c r="F130" i="7"/>
  <c r="K129" i="7"/>
  <c r="F129" i="7"/>
  <c r="L128" i="7"/>
  <c r="K128" i="7"/>
  <c r="I128" i="7"/>
  <c r="H128" i="7"/>
  <c r="G128" i="7"/>
  <c r="L127" i="7"/>
  <c r="K127" i="7"/>
  <c r="I127" i="7"/>
  <c r="R127" i="7" s="1"/>
  <c r="H127" i="7"/>
  <c r="G127" i="7"/>
  <c r="V126" i="7"/>
  <c r="L130" i="7" s="1"/>
  <c r="T126" i="7"/>
  <c r="L129" i="7" s="1"/>
  <c r="U126" i="7"/>
  <c r="I130" i="7" s="1"/>
  <c r="S126" i="7"/>
  <c r="G126" i="7"/>
  <c r="F126" i="7"/>
  <c r="E126" i="7"/>
  <c r="J126" i="7"/>
  <c r="D126" i="7"/>
  <c r="C126" i="7"/>
  <c r="B126" i="7"/>
  <c r="Z125" i="7"/>
  <c r="Y125" i="7"/>
  <c r="W125" i="7"/>
  <c r="M125" i="7"/>
  <c r="Q125" i="7" s="1"/>
  <c r="L122" i="7"/>
  <c r="AB124" i="7"/>
  <c r="L124" i="7"/>
  <c r="K124" i="7"/>
  <c r="Y124" i="7"/>
  <c r="AA124" i="7"/>
  <c r="I124" i="7"/>
  <c r="G124" i="7"/>
  <c r="V124" i="7"/>
  <c r="T124" i="7"/>
  <c r="U124" i="7"/>
  <c r="S124" i="7"/>
  <c r="F124" i="7"/>
  <c r="E124" i="7"/>
  <c r="D124" i="7"/>
  <c r="C124" i="7"/>
  <c r="B124" i="7"/>
  <c r="M123" i="7"/>
  <c r="H123" i="7"/>
  <c r="F123" i="7"/>
  <c r="K122" i="7"/>
  <c r="F122" i="7"/>
  <c r="K121" i="7"/>
  <c r="F121" i="7"/>
  <c r="L120" i="7"/>
  <c r="K120" i="7"/>
  <c r="I120" i="7"/>
  <c r="H120" i="7"/>
  <c r="G120" i="7"/>
  <c r="L119" i="7"/>
  <c r="K119" i="7"/>
  <c r="I119" i="7"/>
  <c r="R119" i="7" s="1"/>
  <c r="H119" i="7"/>
  <c r="G119" i="7"/>
  <c r="L118" i="7"/>
  <c r="K118" i="7"/>
  <c r="I118" i="7"/>
  <c r="H118" i="7"/>
  <c r="G118" i="7"/>
  <c r="L117" i="7"/>
  <c r="K117" i="7"/>
  <c r="I117" i="7"/>
  <c r="R117" i="7" s="1"/>
  <c r="H117" i="7"/>
  <c r="G117" i="7"/>
  <c r="D116" i="7"/>
  <c r="V115" i="7"/>
  <c r="T115" i="7"/>
  <c r="L121" i="7" s="1"/>
  <c r="K125" i="7" s="1"/>
  <c r="P125" i="7" s="1"/>
  <c r="U115" i="7"/>
  <c r="I122" i="7" s="1"/>
  <c r="S115" i="7"/>
  <c r="I121" i="7" s="1"/>
  <c r="H125" i="7" s="1"/>
  <c r="G115" i="7"/>
  <c r="F115" i="7"/>
  <c r="E115" i="7"/>
  <c r="J115" i="7"/>
  <c r="D115" i="7"/>
  <c r="C115" i="7"/>
  <c r="B115" i="7"/>
  <c r="Z114" i="7"/>
  <c r="Y114" i="7"/>
  <c r="W114" i="7"/>
  <c r="Q114" i="7"/>
  <c r="M114" i="7"/>
  <c r="L112" i="7"/>
  <c r="I112" i="7"/>
  <c r="M113" i="7"/>
  <c r="H113" i="7"/>
  <c r="F113" i="7"/>
  <c r="K112" i="7"/>
  <c r="F112" i="7"/>
  <c r="K111" i="7"/>
  <c r="F111" i="7"/>
  <c r="L110" i="7"/>
  <c r="K110" i="7"/>
  <c r="I110" i="7"/>
  <c r="H110" i="7"/>
  <c r="G110" i="7"/>
  <c r="L109" i="7"/>
  <c r="K109" i="7"/>
  <c r="R109" i="7"/>
  <c r="I109" i="7"/>
  <c r="H109" i="7"/>
  <c r="G109" i="7"/>
  <c r="L108" i="7"/>
  <c r="K108" i="7"/>
  <c r="I108" i="7"/>
  <c r="H108" i="7"/>
  <c r="G108" i="7"/>
  <c r="L107" i="7"/>
  <c r="K107" i="7"/>
  <c r="I107" i="7"/>
  <c r="R107" i="7" s="1"/>
  <c r="H107" i="7"/>
  <c r="G107" i="7"/>
  <c r="D106" i="7"/>
  <c r="V105" i="7"/>
  <c r="T105" i="7"/>
  <c r="L111" i="7" s="1"/>
  <c r="K114" i="7" s="1"/>
  <c r="P114" i="7" s="1"/>
  <c r="U105" i="7"/>
  <c r="S105" i="7"/>
  <c r="I111" i="7" s="1"/>
  <c r="H114" i="7" s="1"/>
  <c r="G105" i="7"/>
  <c r="F105" i="7"/>
  <c r="E105" i="7"/>
  <c r="J105" i="7"/>
  <c r="D105" i="7"/>
  <c r="C105" i="7"/>
  <c r="B105" i="7"/>
  <c r="Z104" i="7"/>
  <c r="Y104" i="7"/>
  <c r="W104" i="7"/>
  <c r="M104" i="7"/>
  <c r="Q104" i="7" s="1"/>
  <c r="AB103" i="7"/>
  <c r="L103" i="7"/>
  <c r="K103" i="7"/>
  <c r="Y103" i="7"/>
  <c r="AA103" i="7"/>
  <c r="I103" i="7"/>
  <c r="G103" i="7"/>
  <c r="V103" i="7"/>
  <c r="L101" i="7" s="1"/>
  <c r="T103" i="7"/>
  <c r="U103" i="7"/>
  <c r="S103" i="7"/>
  <c r="F103" i="7"/>
  <c r="E103" i="7"/>
  <c r="D103" i="7"/>
  <c r="C103" i="7"/>
  <c r="B103" i="7"/>
  <c r="M102" i="7"/>
  <c r="H102" i="7"/>
  <c r="F102" i="7"/>
  <c r="K101" i="7"/>
  <c r="F101" i="7"/>
  <c r="K100" i="7"/>
  <c r="F100" i="7"/>
  <c r="L99" i="7"/>
  <c r="K99" i="7"/>
  <c r="I99" i="7"/>
  <c r="H99" i="7"/>
  <c r="G99" i="7"/>
  <c r="L98" i="7"/>
  <c r="K98" i="7"/>
  <c r="I98" i="7"/>
  <c r="R98" i="7" s="1"/>
  <c r="H98" i="7"/>
  <c r="G98" i="7"/>
  <c r="L97" i="7"/>
  <c r="K97" i="7"/>
  <c r="I97" i="7"/>
  <c r="H97" i="7"/>
  <c r="G97" i="7"/>
  <c r="L96" i="7"/>
  <c r="K96" i="7"/>
  <c r="I96" i="7"/>
  <c r="R96" i="7" s="1"/>
  <c r="H96" i="7"/>
  <c r="G96" i="7"/>
  <c r="D95" i="7"/>
  <c r="V94" i="7"/>
  <c r="T94" i="7"/>
  <c r="L100" i="7" s="1"/>
  <c r="K104" i="7" s="1"/>
  <c r="P104" i="7" s="1"/>
  <c r="U94" i="7"/>
  <c r="I101" i="7" s="1"/>
  <c r="S94" i="7"/>
  <c r="I100" i="7" s="1"/>
  <c r="G94" i="7"/>
  <c r="F94" i="7"/>
  <c r="E94" i="7"/>
  <c r="J94" i="7"/>
  <c r="D94" i="7"/>
  <c r="C94" i="7"/>
  <c r="B94" i="7"/>
  <c r="Z93" i="7"/>
  <c r="Y93" i="7"/>
  <c r="W93" i="7"/>
  <c r="Q93" i="7"/>
  <c r="M93" i="7"/>
  <c r="L90" i="7"/>
  <c r="AB92" i="7"/>
  <c r="L92" i="7"/>
  <c r="K92" i="7"/>
  <c r="Y92" i="7"/>
  <c r="AA92" i="7"/>
  <c r="I92" i="7"/>
  <c r="G92" i="7"/>
  <c r="V92" i="7"/>
  <c r="T92" i="7"/>
  <c r="L89" i="7" s="1"/>
  <c r="K93" i="7" s="1"/>
  <c r="P93" i="7" s="1"/>
  <c r="U92" i="7"/>
  <c r="S92" i="7"/>
  <c r="F92" i="7"/>
  <c r="E92" i="7"/>
  <c r="D92" i="7"/>
  <c r="C92" i="7"/>
  <c r="B92" i="7"/>
  <c r="M91" i="7"/>
  <c r="H91" i="7"/>
  <c r="F91" i="7"/>
  <c r="K90" i="7"/>
  <c r="F90" i="7"/>
  <c r="K89" i="7"/>
  <c r="F89" i="7"/>
  <c r="L88" i="7"/>
  <c r="K88" i="7"/>
  <c r="I88" i="7"/>
  <c r="H88" i="7"/>
  <c r="G88" i="7"/>
  <c r="L87" i="7"/>
  <c r="K87" i="7"/>
  <c r="I87" i="7"/>
  <c r="R87" i="7" s="1"/>
  <c r="H87" i="7"/>
  <c r="G87" i="7"/>
  <c r="L86" i="7"/>
  <c r="K86" i="7"/>
  <c r="I86" i="7"/>
  <c r="H86" i="7"/>
  <c r="G86" i="7"/>
  <c r="L85" i="7"/>
  <c r="K85" i="7"/>
  <c r="I85" i="7"/>
  <c r="R85" i="7" s="1"/>
  <c r="H85" i="7"/>
  <c r="G85" i="7"/>
  <c r="D84" i="7"/>
  <c r="V83" i="7"/>
  <c r="T83" i="7"/>
  <c r="U83" i="7"/>
  <c r="I90" i="7" s="1"/>
  <c r="S83" i="7"/>
  <c r="I89" i="7" s="1"/>
  <c r="H93" i="7" s="1"/>
  <c r="G83" i="7"/>
  <c r="F83" i="7"/>
  <c r="E83" i="7"/>
  <c r="J83" i="7"/>
  <c r="D83" i="7"/>
  <c r="C83" i="7"/>
  <c r="B83" i="7"/>
  <c r="Z82" i="7"/>
  <c r="Y82" i="7"/>
  <c r="W82" i="7"/>
  <c r="Q82" i="7"/>
  <c r="M82" i="7"/>
  <c r="L80" i="7"/>
  <c r="I80" i="7"/>
  <c r="M81" i="7"/>
  <c r="H81" i="7"/>
  <c r="F81" i="7"/>
  <c r="K80" i="7"/>
  <c r="F80" i="7"/>
  <c r="K79" i="7"/>
  <c r="F79" i="7"/>
  <c r="L78" i="7"/>
  <c r="K78" i="7"/>
  <c r="I78" i="7"/>
  <c r="H78" i="7"/>
  <c r="G78" i="7"/>
  <c r="L77" i="7"/>
  <c r="K77" i="7"/>
  <c r="I77" i="7"/>
  <c r="H77" i="7"/>
  <c r="G77" i="7"/>
  <c r="L76" i="7"/>
  <c r="K76" i="7"/>
  <c r="I76" i="7"/>
  <c r="R76" i="7" s="1"/>
  <c r="H76" i="7"/>
  <c r="G76" i="7"/>
  <c r="D75" i="7"/>
  <c r="V74" i="7"/>
  <c r="T74" i="7"/>
  <c r="L79" i="7" s="1"/>
  <c r="K82" i="7" s="1"/>
  <c r="P82" i="7" s="1"/>
  <c r="U74" i="7"/>
  <c r="S74" i="7"/>
  <c r="I79" i="7" s="1"/>
  <c r="H82" i="7" s="1"/>
  <c r="G74" i="7"/>
  <c r="F74" i="7"/>
  <c r="E74" i="7"/>
  <c r="J74" i="7"/>
  <c r="D74" i="7"/>
  <c r="C74" i="7"/>
  <c r="B74" i="7"/>
  <c r="Z73" i="7"/>
  <c r="Y73" i="7"/>
  <c r="W73" i="7"/>
  <c r="M73" i="7"/>
  <c r="Q73" i="7" s="1"/>
  <c r="L71" i="7"/>
  <c r="M72" i="7"/>
  <c r="H72" i="7"/>
  <c r="F72" i="7"/>
  <c r="K71" i="7"/>
  <c r="F71" i="7"/>
  <c r="K70" i="7"/>
  <c r="F70" i="7"/>
  <c r="L69" i="7"/>
  <c r="K69" i="7"/>
  <c r="I69" i="7"/>
  <c r="H69" i="7"/>
  <c r="G69" i="7"/>
  <c r="L68" i="7"/>
  <c r="K68" i="7"/>
  <c r="I68" i="7"/>
  <c r="H68" i="7"/>
  <c r="G68" i="7"/>
  <c r="L67" i="7"/>
  <c r="K67" i="7"/>
  <c r="I67" i="7"/>
  <c r="R67" i="7" s="1"/>
  <c r="H67" i="7"/>
  <c r="G67" i="7"/>
  <c r="D66" i="7"/>
  <c r="V65" i="7"/>
  <c r="T65" i="7"/>
  <c r="L70" i="7" s="1"/>
  <c r="K73" i="7" s="1"/>
  <c r="P73" i="7" s="1"/>
  <c r="U65" i="7"/>
  <c r="I71" i="7" s="1"/>
  <c r="S65" i="7"/>
  <c r="I70" i="7" s="1"/>
  <c r="H73" i="7" s="1"/>
  <c r="G65" i="7"/>
  <c r="F65" i="7"/>
  <c r="E65" i="7"/>
  <c r="J65" i="7"/>
  <c r="D65" i="7"/>
  <c r="C65" i="7"/>
  <c r="B65" i="7"/>
  <c r="Z64" i="7"/>
  <c r="Y64" i="7"/>
  <c r="X64" i="7"/>
  <c r="M64" i="7"/>
  <c r="Q64" i="7" s="1"/>
  <c r="M63" i="7"/>
  <c r="H63" i="7"/>
  <c r="F63" i="7"/>
  <c r="K62" i="7"/>
  <c r="F62" i="7"/>
  <c r="K61" i="7"/>
  <c r="F61" i="7"/>
  <c r="L60" i="7"/>
  <c r="K60" i="7"/>
  <c r="R60" i="7"/>
  <c r="I60" i="7"/>
  <c r="H60" i="7"/>
  <c r="G60" i="7"/>
  <c r="D59" i="7"/>
  <c r="V58" i="7"/>
  <c r="L62" i="7" s="1"/>
  <c r="T58" i="7"/>
  <c r="L61" i="7" s="1"/>
  <c r="U58" i="7"/>
  <c r="I62" i="7" s="1"/>
  <c r="S58" i="7"/>
  <c r="I61" i="7" s="1"/>
  <c r="H64" i="7" s="1"/>
  <c r="G58" i="7"/>
  <c r="F58" i="7"/>
  <c r="E58" i="7"/>
  <c r="J58" i="7"/>
  <c r="D58" i="7"/>
  <c r="C58" i="7"/>
  <c r="B58" i="7"/>
  <c r="Z57" i="7"/>
  <c r="Y57" i="7"/>
  <c r="X57" i="7"/>
  <c r="Q57" i="7"/>
  <c r="M57" i="7"/>
  <c r="I56" i="7"/>
  <c r="L55" i="7"/>
  <c r="I55" i="7"/>
  <c r="H57" i="7" s="1"/>
  <c r="K56" i="7"/>
  <c r="F56" i="7"/>
  <c r="K55" i="7"/>
  <c r="F55" i="7"/>
  <c r="L54" i="7"/>
  <c r="K54" i="7"/>
  <c r="R54" i="7"/>
  <c r="I54" i="7"/>
  <c r="H54" i="7"/>
  <c r="G54" i="7"/>
  <c r="L53" i="7"/>
  <c r="K53" i="7"/>
  <c r="I53" i="7"/>
  <c r="H53" i="7"/>
  <c r="G53" i="7"/>
  <c r="D52" i="7"/>
  <c r="V51" i="7"/>
  <c r="L56" i="7" s="1"/>
  <c r="T51" i="7"/>
  <c r="U51" i="7"/>
  <c r="S51" i="7"/>
  <c r="G51" i="7"/>
  <c r="F51" i="7"/>
  <c r="E51" i="7"/>
  <c r="J51" i="7"/>
  <c r="D51" i="7"/>
  <c r="C51" i="7"/>
  <c r="B51" i="7"/>
  <c r="Z50" i="7"/>
  <c r="Y50" i="7"/>
  <c r="X50" i="7"/>
  <c r="M50" i="7"/>
  <c r="Q50" i="7" s="1"/>
  <c r="L48" i="7"/>
  <c r="I48" i="7"/>
  <c r="L47" i="7"/>
  <c r="K50" i="7" s="1"/>
  <c r="P50" i="7" s="1"/>
  <c r="I47" i="7"/>
  <c r="H50" i="7" s="1"/>
  <c r="M49" i="7"/>
  <c r="H49" i="7"/>
  <c r="F49" i="7"/>
  <c r="K48" i="7"/>
  <c r="F48" i="7"/>
  <c r="K47" i="7"/>
  <c r="F47" i="7"/>
  <c r="L46" i="7"/>
  <c r="K46" i="7"/>
  <c r="I46" i="7"/>
  <c r="R46" i="7" s="1"/>
  <c r="H46" i="7"/>
  <c r="G46" i="7"/>
  <c r="D45" i="7"/>
  <c r="V44" i="7"/>
  <c r="T44" i="7"/>
  <c r="U44" i="7"/>
  <c r="S44" i="7"/>
  <c r="G44" i="7"/>
  <c r="F44" i="7"/>
  <c r="E44" i="7"/>
  <c r="J44" i="7"/>
  <c r="D44" i="7"/>
  <c r="C44" i="7"/>
  <c r="B44" i="7"/>
  <c r="Z43" i="7"/>
  <c r="Y43" i="7"/>
  <c r="X43" i="7"/>
  <c r="M43" i="7"/>
  <c r="Q43" i="7" s="1"/>
  <c r="L41" i="7"/>
  <c r="M42" i="7"/>
  <c r="H42" i="7"/>
  <c r="F42" i="7"/>
  <c r="K41" i="7"/>
  <c r="F41" i="7"/>
  <c r="K40" i="7"/>
  <c r="F40" i="7"/>
  <c r="L39" i="7"/>
  <c r="K39" i="7"/>
  <c r="I39" i="7"/>
  <c r="R39" i="7" s="1"/>
  <c r="H39" i="7"/>
  <c r="G39" i="7"/>
  <c r="L38" i="7"/>
  <c r="K38" i="7"/>
  <c r="I38" i="7"/>
  <c r="H38" i="7"/>
  <c r="G38" i="7"/>
  <c r="L37" i="7"/>
  <c r="K37" i="7"/>
  <c r="R37" i="7"/>
  <c r="I37" i="7"/>
  <c r="H37" i="7"/>
  <c r="G37" i="7"/>
  <c r="D36" i="7"/>
  <c r="V35" i="7"/>
  <c r="T35" i="7"/>
  <c r="L40" i="7" s="1"/>
  <c r="K43" i="7" s="1"/>
  <c r="P43" i="7" s="1"/>
  <c r="U35" i="7"/>
  <c r="I41" i="7" s="1"/>
  <c r="S35" i="7"/>
  <c r="I40" i="7" s="1"/>
  <c r="H43" i="7" s="1"/>
  <c r="G35" i="7"/>
  <c r="F35" i="7"/>
  <c r="E35" i="7"/>
  <c r="J35" i="7"/>
  <c r="D35" i="7"/>
  <c r="C35" i="7"/>
  <c r="B35" i="7"/>
  <c r="G26" i="7"/>
  <c r="K22" i="7"/>
  <c r="K21" i="7"/>
  <c r="K20" i="7"/>
  <c r="K19" i="7"/>
  <c r="K16" i="7"/>
  <c r="AD17" i="7"/>
  <c r="C17" i="7"/>
  <c r="K14" i="7"/>
  <c r="AD13" i="7"/>
  <c r="K12" i="7"/>
  <c r="C13" i="7"/>
  <c r="AD11" i="7"/>
  <c r="K10" i="7"/>
  <c r="C11" i="7"/>
  <c r="AD9" i="7"/>
  <c r="K8" i="7"/>
  <c r="C9" i="7"/>
  <c r="A1" i="7"/>
  <c r="H213" i="6"/>
  <c r="H209" i="6"/>
  <c r="C213" i="6"/>
  <c r="C209" i="6"/>
  <c r="AM205" i="6"/>
  <c r="D205" i="6"/>
  <c r="C205" i="6"/>
  <c r="AM204" i="6"/>
  <c r="D204" i="6"/>
  <c r="C204" i="6"/>
  <c r="AM203" i="6"/>
  <c r="D203" i="6"/>
  <c r="C203" i="6"/>
  <c r="C202" i="6"/>
  <c r="C201" i="6"/>
  <c r="J200" i="6"/>
  <c r="C200" i="6"/>
  <c r="J199" i="6"/>
  <c r="C199" i="6"/>
  <c r="C198" i="6"/>
  <c r="AG196" i="6"/>
  <c r="A196" i="6"/>
  <c r="Z193" i="6"/>
  <c r="Y193" i="6"/>
  <c r="X193" i="6"/>
  <c r="L193" i="6"/>
  <c r="Q193" i="6" s="1"/>
  <c r="J193" i="6"/>
  <c r="P193" i="6" s="1"/>
  <c r="G193" i="6"/>
  <c r="O193" i="6" s="1"/>
  <c r="K192" i="6"/>
  <c r="J192" i="6"/>
  <c r="H192" i="6"/>
  <c r="G192" i="6"/>
  <c r="F192" i="6"/>
  <c r="V191" i="6"/>
  <c r="T191" i="6"/>
  <c r="U191" i="6"/>
  <c r="S191" i="6"/>
  <c r="F191" i="6"/>
  <c r="E191" i="6"/>
  <c r="D191" i="6"/>
  <c r="I191" i="6"/>
  <c r="B191" i="6"/>
  <c r="A191" i="6"/>
  <c r="Z190" i="6"/>
  <c r="Y190" i="6"/>
  <c r="X190" i="6"/>
  <c r="L190" i="6"/>
  <c r="Q190" i="6" s="1"/>
  <c r="J190" i="6"/>
  <c r="P190" i="6" s="1"/>
  <c r="G190" i="6"/>
  <c r="W190" i="6" s="1"/>
  <c r="K189" i="6"/>
  <c r="J189" i="6"/>
  <c r="H189" i="6"/>
  <c r="G189" i="6"/>
  <c r="F189" i="6"/>
  <c r="V188" i="6"/>
  <c r="T188" i="6"/>
  <c r="U188" i="6"/>
  <c r="S188" i="6"/>
  <c r="F188" i="6"/>
  <c r="E188" i="6"/>
  <c r="D188" i="6"/>
  <c r="I188" i="6"/>
  <c r="B188" i="6"/>
  <c r="A188" i="6"/>
  <c r="Z187" i="6"/>
  <c r="Y187" i="6"/>
  <c r="X187" i="6"/>
  <c r="L187" i="6"/>
  <c r="Q187" i="6" s="1"/>
  <c r="J187" i="6"/>
  <c r="P187" i="6" s="1"/>
  <c r="G187" i="6"/>
  <c r="O187" i="6" s="1"/>
  <c r="K186" i="6"/>
  <c r="J186" i="6"/>
  <c r="H186" i="6"/>
  <c r="G186" i="6"/>
  <c r="F186" i="6"/>
  <c r="V185" i="6"/>
  <c r="T185" i="6"/>
  <c r="U185" i="6"/>
  <c r="S185" i="6"/>
  <c r="F185" i="6"/>
  <c r="E185" i="6"/>
  <c r="D185" i="6"/>
  <c r="I185" i="6"/>
  <c r="B185" i="6"/>
  <c r="A185" i="6"/>
  <c r="Z184" i="6"/>
  <c r="Y184" i="6"/>
  <c r="X184" i="6"/>
  <c r="L184" i="6"/>
  <c r="Q184" i="6" s="1"/>
  <c r="J184" i="6"/>
  <c r="P184" i="6" s="1"/>
  <c r="G184" i="6"/>
  <c r="O184" i="6" s="1"/>
  <c r="K183" i="6"/>
  <c r="J183" i="6"/>
  <c r="H183" i="6"/>
  <c r="G183" i="6"/>
  <c r="F183" i="6"/>
  <c r="V182" i="6"/>
  <c r="T182" i="6"/>
  <c r="U182" i="6"/>
  <c r="S182" i="6"/>
  <c r="F182" i="6"/>
  <c r="E182" i="6"/>
  <c r="D182" i="6"/>
  <c r="I182" i="6"/>
  <c r="B182" i="6"/>
  <c r="A182" i="6"/>
  <c r="Z181" i="6"/>
  <c r="Y181" i="6"/>
  <c r="X181" i="6"/>
  <c r="L181" i="6"/>
  <c r="Q181" i="6" s="1"/>
  <c r="J181" i="6"/>
  <c r="P181" i="6" s="1"/>
  <c r="G181" i="6"/>
  <c r="O181" i="6" s="1"/>
  <c r="K180" i="6"/>
  <c r="J180" i="6"/>
  <c r="H180" i="6"/>
  <c r="G180" i="6"/>
  <c r="F180" i="6"/>
  <c r="V179" i="6"/>
  <c r="T179" i="6"/>
  <c r="U179" i="6"/>
  <c r="S179" i="6"/>
  <c r="F179" i="6"/>
  <c r="E179" i="6"/>
  <c r="D179" i="6"/>
  <c r="I179" i="6"/>
  <c r="B179" i="6"/>
  <c r="A179" i="6"/>
  <c r="Z178" i="6"/>
  <c r="Y178" i="6"/>
  <c r="X178" i="6"/>
  <c r="L178" i="6"/>
  <c r="Q178" i="6" s="1"/>
  <c r="J178" i="6"/>
  <c r="P178" i="6" s="1"/>
  <c r="G178" i="6"/>
  <c r="O178" i="6" s="1"/>
  <c r="K177" i="6"/>
  <c r="J177" i="6"/>
  <c r="H177" i="6"/>
  <c r="G177" i="6"/>
  <c r="F177" i="6"/>
  <c r="V176" i="6"/>
  <c r="T176" i="6"/>
  <c r="U176" i="6"/>
  <c r="S176" i="6"/>
  <c r="F176" i="6"/>
  <c r="E176" i="6"/>
  <c r="D176" i="6"/>
  <c r="I176" i="6"/>
  <c r="B176" i="6"/>
  <c r="A176" i="6"/>
  <c r="Z175" i="6"/>
  <c r="Y175" i="6"/>
  <c r="X175" i="6"/>
  <c r="L175" i="6"/>
  <c r="Q175" i="6" s="1"/>
  <c r="J175" i="6"/>
  <c r="P175" i="6" s="1"/>
  <c r="G175" i="6"/>
  <c r="O175" i="6" s="1"/>
  <c r="K174" i="6"/>
  <c r="J174" i="6"/>
  <c r="H174" i="6"/>
  <c r="G174" i="6"/>
  <c r="F174" i="6"/>
  <c r="V173" i="6"/>
  <c r="T173" i="6"/>
  <c r="U173" i="6"/>
  <c r="S173" i="6"/>
  <c r="F173" i="6"/>
  <c r="E173" i="6"/>
  <c r="D173" i="6"/>
  <c r="I173" i="6"/>
  <c r="B173" i="6"/>
  <c r="A173" i="6"/>
  <c r="Z172" i="6"/>
  <c r="Y172" i="6"/>
  <c r="X172" i="6"/>
  <c r="L172" i="6"/>
  <c r="Q172" i="6" s="1"/>
  <c r="J172" i="6"/>
  <c r="P172" i="6" s="1"/>
  <c r="G172" i="6"/>
  <c r="O172" i="6" s="1"/>
  <c r="K171" i="6"/>
  <c r="J171" i="6"/>
  <c r="H171" i="6"/>
  <c r="G171" i="6"/>
  <c r="F171" i="6"/>
  <c r="V170" i="6"/>
  <c r="T170" i="6"/>
  <c r="U170" i="6"/>
  <c r="S170" i="6"/>
  <c r="F170" i="6"/>
  <c r="E170" i="6"/>
  <c r="D170" i="6"/>
  <c r="I170" i="6"/>
  <c r="B170" i="6"/>
  <c r="A170" i="6"/>
  <c r="Z169" i="6"/>
  <c r="Y169" i="6"/>
  <c r="X169" i="6"/>
  <c r="L169" i="6"/>
  <c r="Q169" i="6" s="1"/>
  <c r="J169" i="6"/>
  <c r="P169" i="6" s="1"/>
  <c r="G169" i="6"/>
  <c r="O169" i="6" s="1"/>
  <c r="K168" i="6"/>
  <c r="J168" i="6"/>
  <c r="H168" i="6"/>
  <c r="G168" i="6"/>
  <c r="F168" i="6"/>
  <c r="V167" i="6"/>
  <c r="T167" i="6"/>
  <c r="U167" i="6"/>
  <c r="S167" i="6"/>
  <c r="F167" i="6"/>
  <c r="E167" i="6"/>
  <c r="D167" i="6"/>
  <c r="I167" i="6"/>
  <c r="B167" i="6"/>
  <c r="A167" i="6"/>
  <c r="Z166" i="6"/>
  <c r="Y166" i="6"/>
  <c r="X166" i="6"/>
  <c r="O166" i="6"/>
  <c r="L166" i="6"/>
  <c r="Q166" i="6" s="1"/>
  <c r="J166" i="6"/>
  <c r="P166" i="6" s="1"/>
  <c r="G166" i="6"/>
  <c r="W166" i="6" s="1"/>
  <c r="K165" i="6"/>
  <c r="J165" i="6"/>
  <c r="H165" i="6"/>
  <c r="G165" i="6"/>
  <c r="F165" i="6"/>
  <c r="V164" i="6"/>
  <c r="T164" i="6"/>
  <c r="U164" i="6"/>
  <c r="S164" i="6"/>
  <c r="F164" i="6"/>
  <c r="E164" i="6"/>
  <c r="D164" i="6"/>
  <c r="I164" i="6"/>
  <c r="C164" i="6"/>
  <c r="B164" i="6"/>
  <c r="A164" i="6"/>
  <c r="Z163" i="6"/>
  <c r="Y163" i="6"/>
  <c r="X163" i="6"/>
  <c r="L163" i="6"/>
  <c r="Q163" i="6" s="1"/>
  <c r="J163" i="6"/>
  <c r="P163" i="6" s="1"/>
  <c r="G163" i="6"/>
  <c r="W163" i="6" s="1"/>
  <c r="K162" i="6"/>
  <c r="J162" i="6"/>
  <c r="H162" i="6"/>
  <c r="G162" i="6"/>
  <c r="F162" i="6"/>
  <c r="V161" i="6"/>
  <c r="T161" i="6"/>
  <c r="U161" i="6"/>
  <c r="S161" i="6"/>
  <c r="F161" i="6"/>
  <c r="E161" i="6"/>
  <c r="D161" i="6"/>
  <c r="I161" i="6"/>
  <c r="B161" i="6"/>
  <c r="A161" i="6"/>
  <c r="Z160" i="6"/>
  <c r="Y160" i="6"/>
  <c r="X160" i="6"/>
  <c r="L160" i="6"/>
  <c r="Q160" i="6" s="1"/>
  <c r="J160" i="6"/>
  <c r="P160" i="6" s="1"/>
  <c r="G160" i="6"/>
  <c r="O160" i="6" s="1"/>
  <c r="K159" i="6"/>
  <c r="J159" i="6"/>
  <c r="H159" i="6"/>
  <c r="G159" i="6"/>
  <c r="F159" i="6"/>
  <c r="V158" i="6"/>
  <c r="T158" i="6"/>
  <c r="U158" i="6"/>
  <c r="S158" i="6"/>
  <c r="F158" i="6"/>
  <c r="E158" i="6"/>
  <c r="D158" i="6"/>
  <c r="I158" i="6"/>
  <c r="B158" i="6"/>
  <c r="A158" i="6"/>
  <c r="Z157" i="6"/>
  <c r="Y157" i="6"/>
  <c r="X157" i="6"/>
  <c r="L157" i="6"/>
  <c r="Q157" i="6" s="1"/>
  <c r="J157" i="6"/>
  <c r="P157" i="6" s="1"/>
  <c r="G157" i="6"/>
  <c r="W157" i="6" s="1"/>
  <c r="K156" i="6"/>
  <c r="J156" i="6"/>
  <c r="H156" i="6"/>
  <c r="G156" i="6"/>
  <c r="F156" i="6"/>
  <c r="V155" i="6"/>
  <c r="T155" i="6"/>
  <c r="U155" i="6"/>
  <c r="S155" i="6"/>
  <c r="F155" i="6"/>
  <c r="E155" i="6"/>
  <c r="D155" i="6"/>
  <c r="I155" i="6"/>
  <c r="B155" i="6"/>
  <c r="A155" i="6"/>
  <c r="Y154" i="6"/>
  <c r="X154" i="6"/>
  <c r="W154" i="6"/>
  <c r="L154" i="6"/>
  <c r="Q154" i="6" s="1"/>
  <c r="L153" i="6"/>
  <c r="G153" i="6"/>
  <c r="E153" i="6"/>
  <c r="J152" i="6"/>
  <c r="E152" i="6"/>
  <c r="J151" i="6"/>
  <c r="E151" i="6"/>
  <c r="K150" i="6"/>
  <c r="J150" i="6"/>
  <c r="H150" i="6"/>
  <c r="R150" i="6" s="1"/>
  <c r="G150" i="6"/>
  <c r="F150" i="6"/>
  <c r="V149" i="6"/>
  <c r="K152" i="6" s="1"/>
  <c r="T149" i="6"/>
  <c r="K151" i="6" s="1"/>
  <c r="J154" i="6" s="1"/>
  <c r="P154" i="6" s="1"/>
  <c r="U149" i="6"/>
  <c r="H152" i="6" s="1"/>
  <c r="S149" i="6"/>
  <c r="H151" i="6" s="1"/>
  <c r="G154" i="6" s="1"/>
  <c r="F149" i="6"/>
  <c r="E149" i="6"/>
  <c r="D149" i="6"/>
  <c r="I149" i="6"/>
  <c r="C149" i="6"/>
  <c r="B149" i="6"/>
  <c r="A149" i="6"/>
  <c r="Z148" i="6"/>
  <c r="Y148" i="6"/>
  <c r="X148" i="6"/>
  <c r="L148" i="6"/>
  <c r="Q148" i="6" s="1"/>
  <c r="L147" i="6"/>
  <c r="G147" i="6"/>
  <c r="E147" i="6"/>
  <c r="J146" i="6"/>
  <c r="E146" i="6"/>
  <c r="J145" i="6"/>
  <c r="E145" i="6"/>
  <c r="K144" i="6"/>
  <c r="J144" i="6"/>
  <c r="H144" i="6"/>
  <c r="G144" i="6"/>
  <c r="F144" i="6"/>
  <c r="K143" i="6"/>
  <c r="J143" i="6"/>
  <c r="H143" i="6"/>
  <c r="G143" i="6"/>
  <c r="F143" i="6"/>
  <c r="K142" i="6"/>
  <c r="J142" i="6"/>
  <c r="H142" i="6"/>
  <c r="R142" i="6" s="1"/>
  <c r="G142" i="6"/>
  <c r="F142" i="6"/>
  <c r="C141" i="6"/>
  <c r="V140" i="6"/>
  <c r="K146" i="6" s="1"/>
  <c r="T140" i="6"/>
  <c r="K145" i="6" s="1"/>
  <c r="U140" i="6"/>
  <c r="H146" i="6" s="1"/>
  <c r="S140" i="6"/>
  <c r="H145" i="6" s="1"/>
  <c r="F140" i="6"/>
  <c r="E140" i="6"/>
  <c r="D140" i="6"/>
  <c r="I140" i="6"/>
  <c r="C140" i="6"/>
  <c r="B140" i="6"/>
  <c r="A140" i="6"/>
  <c r="Z139" i="6"/>
  <c r="Y139" i="6"/>
  <c r="W139" i="6"/>
  <c r="L139" i="6"/>
  <c r="Q139" i="6" s="1"/>
  <c r="L138" i="6"/>
  <c r="G138" i="6"/>
  <c r="E138" i="6"/>
  <c r="J137" i="6"/>
  <c r="E137" i="6"/>
  <c r="J136" i="6"/>
  <c r="E136" i="6"/>
  <c r="K135" i="6"/>
  <c r="J135" i="6"/>
  <c r="H135" i="6"/>
  <c r="G135" i="6"/>
  <c r="F135" i="6"/>
  <c r="K134" i="6"/>
  <c r="J134" i="6"/>
  <c r="H134" i="6"/>
  <c r="R134" i="6" s="1"/>
  <c r="G134" i="6"/>
  <c r="F134" i="6"/>
  <c r="C133" i="6"/>
  <c r="V132" i="6"/>
  <c r="K137" i="6" s="1"/>
  <c r="T132" i="6"/>
  <c r="K136" i="6" s="1"/>
  <c r="U132" i="6"/>
  <c r="H137" i="6" s="1"/>
  <c r="S132" i="6"/>
  <c r="H136" i="6" s="1"/>
  <c r="F132" i="6"/>
  <c r="E132" i="6"/>
  <c r="D132" i="6"/>
  <c r="I132" i="6"/>
  <c r="C132" i="6"/>
  <c r="B132" i="6"/>
  <c r="A132" i="6"/>
  <c r="Z131" i="6"/>
  <c r="Y131" i="6"/>
  <c r="W131" i="6"/>
  <c r="L131" i="6"/>
  <c r="Q131" i="6" s="1"/>
  <c r="AB130" i="6"/>
  <c r="K130" i="6"/>
  <c r="J130" i="6"/>
  <c r="Y130" i="6"/>
  <c r="AA130" i="6"/>
  <c r="H130" i="6"/>
  <c r="F130" i="6"/>
  <c r="V130" i="6"/>
  <c r="T130" i="6"/>
  <c r="U130" i="6"/>
  <c r="S130" i="6"/>
  <c r="E130" i="6"/>
  <c r="D130" i="6"/>
  <c r="C130" i="6"/>
  <c r="B130" i="6"/>
  <c r="A130" i="6"/>
  <c r="L129" i="6"/>
  <c r="G129" i="6"/>
  <c r="E129" i="6"/>
  <c r="J128" i="6"/>
  <c r="E128" i="6"/>
  <c r="J127" i="6"/>
  <c r="E127" i="6"/>
  <c r="K126" i="6"/>
  <c r="J126" i="6"/>
  <c r="H126" i="6"/>
  <c r="G126" i="6"/>
  <c r="F126" i="6"/>
  <c r="K125" i="6"/>
  <c r="J125" i="6"/>
  <c r="H125" i="6"/>
  <c r="R125" i="6" s="1"/>
  <c r="G125" i="6"/>
  <c r="F125" i="6"/>
  <c r="K124" i="6"/>
  <c r="J124" i="6"/>
  <c r="H124" i="6"/>
  <c r="G124" i="6"/>
  <c r="F124" i="6"/>
  <c r="K123" i="6"/>
  <c r="J123" i="6"/>
  <c r="H123" i="6"/>
  <c r="R123" i="6" s="1"/>
  <c r="G123" i="6"/>
  <c r="F123" i="6"/>
  <c r="V122" i="6"/>
  <c r="T122" i="6"/>
  <c r="K127" i="6" s="1"/>
  <c r="U122" i="6"/>
  <c r="H128" i="6" s="1"/>
  <c r="S122" i="6"/>
  <c r="H127" i="6" s="1"/>
  <c r="F122" i="6"/>
  <c r="E122" i="6"/>
  <c r="D122" i="6"/>
  <c r="I122" i="6"/>
  <c r="C122" i="6"/>
  <c r="B122" i="6"/>
  <c r="A122" i="6"/>
  <c r="Z121" i="6"/>
  <c r="Y121" i="6"/>
  <c r="W121" i="6"/>
  <c r="L121" i="6"/>
  <c r="Q121" i="6" s="1"/>
  <c r="AB120" i="6"/>
  <c r="K120" i="6"/>
  <c r="J120" i="6"/>
  <c r="Y120" i="6"/>
  <c r="AA120" i="6"/>
  <c r="H120" i="6"/>
  <c r="F120" i="6"/>
  <c r="V120" i="6"/>
  <c r="T120" i="6"/>
  <c r="U120" i="6"/>
  <c r="S120" i="6"/>
  <c r="E120" i="6"/>
  <c r="D120" i="6"/>
  <c r="C120" i="6"/>
  <c r="B120" i="6"/>
  <c r="A120" i="6"/>
  <c r="AB119" i="6"/>
  <c r="K119" i="6"/>
  <c r="J119" i="6"/>
  <c r="Y119" i="6"/>
  <c r="AA119" i="6"/>
  <c r="H119" i="6"/>
  <c r="F119" i="6"/>
  <c r="V119" i="6"/>
  <c r="T119" i="6"/>
  <c r="U119" i="6"/>
  <c r="S119" i="6"/>
  <c r="E119" i="6"/>
  <c r="D119" i="6"/>
  <c r="C119" i="6"/>
  <c r="B119" i="6"/>
  <c r="A119" i="6"/>
  <c r="AB118" i="6"/>
  <c r="K118" i="6"/>
  <c r="J118" i="6"/>
  <c r="Y118" i="6"/>
  <c r="AA118" i="6"/>
  <c r="H118" i="6"/>
  <c r="F118" i="6"/>
  <c r="V118" i="6"/>
  <c r="T118" i="6"/>
  <c r="U118" i="6"/>
  <c r="S118" i="6"/>
  <c r="E118" i="6"/>
  <c r="D118" i="6"/>
  <c r="C118" i="6"/>
  <c r="B118" i="6"/>
  <c r="A118" i="6"/>
  <c r="AB117" i="6"/>
  <c r="K117" i="6"/>
  <c r="J117" i="6"/>
  <c r="Y117" i="6"/>
  <c r="AA117" i="6"/>
  <c r="H117" i="6"/>
  <c r="F117" i="6"/>
  <c r="V117" i="6"/>
  <c r="T117" i="6"/>
  <c r="U117" i="6"/>
  <c r="S117" i="6"/>
  <c r="E117" i="6"/>
  <c r="D117" i="6"/>
  <c r="C117" i="6"/>
  <c r="B117" i="6"/>
  <c r="A117" i="6"/>
  <c r="L116" i="6"/>
  <c r="G116" i="6"/>
  <c r="E116" i="6"/>
  <c r="J115" i="6"/>
  <c r="E115" i="6"/>
  <c r="J114" i="6"/>
  <c r="E114" i="6"/>
  <c r="K113" i="6"/>
  <c r="J113" i="6"/>
  <c r="H113" i="6"/>
  <c r="G113" i="6"/>
  <c r="F113" i="6"/>
  <c r="K112" i="6"/>
  <c r="J112" i="6"/>
  <c r="H112" i="6"/>
  <c r="R112" i="6" s="1"/>
  <c r="G112" i="6"/>
  <c r="F112" i="6"/>
  <c r="V111" i="6"/>
  <c r="T111" i="6"/>
  <c r="U111" i="6"/>
  <c r="S111" i="6"/>
  <c r="F111" i="6"/>
  <c r="E111" i="6"/>
  <c r="D111" i="6"/>
  <c r="I111" i="6"/>
  <c r="C111" i="6"/>
  <c r="B111" i="6"/>
  <c r="A111" i="6"/>
  <c r="Z110" i="6"/>
  <c r="Y110" i="6"/>
  <c r="W110" i="6"/>
  <c r="L110" i="6"/>
  <c r="Q110" i="6" s="1"/>
  <c r="K106" i="6"/>
  <c r="AB109" i="6"/>
  <c r="K109" i="6"/>
  <c r="J109" i="6"/>
  <c r="Y109" i="6"/>
  <c r="AA109" i="6"/>
  <c r="H109" i="6"/>
  <c r="F109" i="6"/>
  <c r="V109" i="6"/>
  <c r="T109" i="6"/>
  <c r="U109" i="6"/>
  <c r="S109" i="6"/>
  <c r="E109" i="6"/>
  <c r="D109" i="6"/>
  <c r="C109" i="6"/>
  <c r="B109" i="6"/>
  <c r="A109" i="6"/>
  <c r="L108" i="6"/>
  <c r="G108" i="6"/>
  <c r="E108" i="6"/>
  <c r="J107" i="6"/>
  <c r="E107" i="6"/>
  <c r="J106" i="6"/>
  <c r="E106" i="6"/>
  <c r="K105" i="6"/>
  <c r="J105" i="6"/>
  <c r="H105" i="6"/>
  <c r="G105" i="6"/>
  <c r="F105" i="6"/>
  <c r="K104" i="6"/>
  <c r="J104" i="6"/>
  <c r="H104" i="6"/>
  <c r="R104" i="6" s="1"/>
  <c r="G104" i="6"/>
  <c r="F104" i="6"/>
  <c r="K103" i="6"/>
  <c r="J103" i="6"/>
  <c r="H103" i="6"/>
  <c r="G103" i="6"/>
  <c r="F103" i="6"/>
  <c r="K102" i="6"/>
  <c r="J102" i="6"/>
  <c r="H102" i="6"/>
  <c r="R102" i="6" s="1"/>
  <c r="G102" i="6"/>
  <c r="F102" i="6"/>
  <c r="C101" i="6"/>
  <c r="V100" i="6"/>
  <c r="T100" i="6"/>
  <c r="U100" i="6"/>
  <c r="S100" i="6"/>
  <c r="F100" i="6"/>
  <c r="E100" i="6"/>
  <c r="D100" i="6"/>
  <c r="I100" i="6"/>
  <c r="C100" i="6"/>
  <c r="B100" i="6"/>
  <c r="A100" i="6"/>
  <c r="Z99" i="6"/>
  <c r="Y99" i="6"/>
  <c r="W99" i="6"/>
  <c r="L99" i="6"/>
  <c r="Q99" i="6" s="1"/>
  <c r="H96" i="6"/>
  <c r="L98" i="6"/>
  <c r="G98" i="6"/>
  <c r="E98" i="6"/>
  <c r="J97" i="6"/>
  <c r="E97" i="6"/>
  <c r="J96" i="6"/>
  <c r="E96" i="6"/>
  <c r="K95" i="6"/>
  <c r="J95" i="6"/>
  <c r="H95" i="6"/>
  <c r="G95" i="6"/>
  <c r="F95" i="6"/>
  <c r="K94" i="6"/>
  <c r="J94" i="6"/>
  <c r="H94" i="6"/>
  <c r="R94" i="6" s="1"/>
  <c r="G94" i="6"/>
  <c r="F94" i="6"/>
  <c r="K93" i="6"/>
  <c r="J93" i="6"/>
  <c r="H93" i="6"/>
  <c r="G93" i="6"/>
  <c r="F93" i="6"/>
  <c r="K92" i="6"/>
  <c r="J92" i="6"/>
  <c r="H92" i="6"/>
  <c r="R92" i="6" s="1"/>
  <c r="G92" i="6"/>
  <c r="F92" i="6"/>
  <c r="C91" i="6"/>
  <c r="V90" i="6"/>
  <c r="K97" i="6" s="1"/>
  <c r="T90" i="6"/>
  <c r="K96" i="6" s="1"/>
  <c r="U90" i="6"/>
  <c r="H97" i="6" s="1"/>
  <c r="S90" i="6"/>
  <c r="F90" i="6"/>
  <c r="E90" i="6"/>
  <c r="D90" i="6"/>
  <c r="I90" i="6"/>
  <c r="C90" i="6"/>
  <c r="B90" i="6"/>
  <c r="A90" i="6"/>
  <c r="Z89" i="6"/>
  <c r="Y89" i="6"/>
  <c r="W89" i="6"/>
  <c r="L89" i="6"/>
  <c r="Q89" i="6" s="1"/>
  <c r="AB88" i="6"/>
  <c r="K88" i="6"/>
  <c r="J88" i="6"/>
  <c r="Y88" i="6"/>
  <c r="AA88" i="6"/>
  <c r="H88" i="6"/>
  <c r="F88" i="6"/>
  <c r="V88" i="6"/>
  <c r="T88" i="6"/>
  <c r="U88" i="6"/>
  <c r="S88" i="6"/>
  <c r="E88" i="6"/>
  <c r="D88" i="6"/>
  <c r="C88" i="6"/>
  <c r="B88" i="6"/>
  <c r="A88" i="6"/>
  <c r="L87" i="6"/>
  <c r="G87" i="6"/>
  <c r="E87" i="6"/>
  <c r="J86" i="6"/>
  <c r="E86" i="6"/>
  <c r="J85" i="6"/>
  <c r="E85" i="6"/>
  <c r="K84" i="6"/>
  <c r="J84" i="6"/>
  <c r="H84" i="6"/>
  <c r="G84" i="6"/>
  <c r="F84" i="6"/>
  <c r="K83" i="6"/>
  <c r="J83" i="6"/>
  <c r="H83" i="6"/>
  <c r="R83" i="6" s="1"/>
  <c r="G83" i="6"/>
  <c r="F83" i="6"/>
  <c r="K82" i="6"/>
  <c r="J82" i="6"/>
  <c r="H82" i="6"/>
  <c r="G82" i="6"/>
  <c r="F82" i="6"/>
  <c r="K81" i="6"/>
  <c r="J81" i="6"/>
  <c r="H81" i="6"/>
  <c r="R81" i="6" s="1"/>
  <c r="G81" i="6"/>
  <c r="F81" i="6"/>
  <c r="C80" i="6"/>
  <c r="V79" i="6"/>
  <c r="T79" i="6"/>
  <c r="K85" i="6" s="1"/>
  <c r="U79" i="6"/>
  <c r="S79" i="6"/>
  <c r="F79" i="6"/>
  <c r="E79" i="6"/>
  <c r="D79" i="6"/>
  <c r="I79" i="6"/>
  <c r="C79" i="6"/>
  <c r="B79" i="6"/>
  <c r="A79" i="6"/>
  <c r="Z78" i="6"/>
  <c r="Y78" i="6"/>
  <c r="W78" i="6"/>
  <c r="L78" i="6"/>
  <c r="Q78" i="6" s="1"/>
  <c r="AB77" i="6"/>
  <c r="K77" i="6"/>
  <c r="J77" i="6"/>
  <c r="Y77" i="6"/>
  <c r="AA77" i="6"/>
  <c r="H77" i="6"/>
  <c r="F77" i="6"/>
  <c r="V77" i="6"/>
  <c r="T77" i="6"/>
  <c r="U77" i="6"/>
  <c r="S77" i="6"/>
  <c r="E77" i="6"/>
  <c r="D77" i="6"/>
  <c r="C77" i="6"/>
  <c r="B77" i="6"/>
  <c r="A77" i="6"/>
  <c r="L76" i="6"/>
  <c r="G76" i="6"/>
  <c r="E76" i="6"/>
  <c r="J75" i="6"/>
  <c r="E75" i="6"/>
  <c r="J74" i="6"/>
  <c r="E74" i="6"/>
  <c r="K73" i="6"/>
  <c r="J73" i="6"/>
  <c r="H73" i="6"/>
  <c r="G73" i="6"/>
  <c r="F73" i="6"/>
  <c r="K72" i="6"/>
  <c r="J72" i="6"/>
  <c r="H72" i="6"/>
  <c r="R72" i="6" s="1"/>
  <c r="G72" i="6"/>
  <c r="F72" i="6"/>
  <c r="K71" i="6"/>
  <c r="J71" i="6"/>
  <c r="H71" i="6"/>
  <c r="G71" i="6"/>
  <c r="F71" i="6"/>
  <c r="K70" i="6"/>
  <c r="J70" i="6"/>
  <c r="H70" i="6"/>
  <c r="R70" i="6" s="1"/>
  <c r="G70" i="6"/>
  <c r="F70" i="6"/>
  <c r="C69" i="6"/>
  <c r="V68" i="6"/>
  <c r="K75" i="6" s="1"/>
  <c r="T68" i="6"/>
  <c r="K74" i="6" s="1"/>
  <c r="U68" i="6"/>
  <c r="H75" i="6" s="1"/>
  <c r="S68" i="6"/>
  <c r="F68" i="6"/>
  <c r="E68" i="6"/>
  <c r="D68" i="6"/>
  <c r="I68" i="6"/>
  <c r="C68" i="6"/>
  <c r="B68" i="6"/>
  <c r="A68" i="6"/>
  <c r="Z67" i="6"/>
  <c r="Y67" i="6"/>
  <c r="W67" i="6"/>
  <c r="L67" i="6"/>
  <c r="Q67" i="6" s="1"/>
  <c r="L66" i="6"/>
  <c r="G66" i="6"/>
  <c r="E66" i="6"/>
  <c r="J65" i="6"/>
  <c r="E65" i="6"/>
  <c r="J64" i="6"/>
  <c r="E64" i="6"/>
  <c r="K63" i="6"/>
  <c r="J63" i="6"/>
  <c r="H63" i="6"/>
  <c r="G63" i="6"/>
  <c r="F63" i="6"/>
  <c r="K62" i="6"/>
  <c r="J62" i="6"/>
  <c r="H62" i="6"/>
  <c r="G62" i="6"/>
  <c r="F62" i="6"/>
  <c r="K61" i="6"/>
  <c r="J61" i="6"/>
  <c r="H61" i="6"/>
  <c r="R61" i="6" s="1"/>
  <c r="G61" i="6"/>
  <c r="F61" i="6"/>
  <c r="C60" i="6"/>
  <c r="V59" i="6"/>
  <c r="K65" i="6" s="1"/>
  <c r="T59" i="6"/>
  <c r="K64" i="6" s="1"/>
  <c r="U59" i="6"/>
  <c r="H65" i="6" s="1"/>
  <c r="S59" i="6"/>
  <c r="H64" i="6" s="1"/>
  <c r="G67" i="6" s="1"/>
  <c r="F59" i="6"/>
  <c r="E59" i="6"/>
  <c r="D59" i="6"/>
  <c r="I59" i="6"/>
  <c r="C59" i="6"/>
  <c r="B59" i="6"/>
  <c r="A59" i="6"/>
  <c r="Z58" i="6"/>
  <c r="Y58" i="6"/>
  <c r="W58" i="6"/>
  <c r="L58" i="6"/>
  <c r="Q58" i="6" s="1"/>
  <c r="K55" i="6"/>
  <c r="L57" i="6"/>
  <c r="G57" i="6"/>
  <c r="E57" i="6"/>
  <c r="J56" i="6"/>
  <c r="E56" i="6"/>
  <c r="J55" i="6"/>
  <c r="E55" i="6"/>
  <c r="K54" i="6"/>
  <c r="J54" i="6"/>
  <c r="H54" i="6"/>
  <c r="G54" i="6"/>
  <c r="F54" i="6"/>
  <c r="K53" i="6"/>
  <c r="J53" i="6"/>
  <c r="H53" i="6"/>
  <c r="G53" i="6"/>
  <c r="F53" i="6"/>
  <c r="K52" i="6"/>
  <c r="J52" i="6"/>
  <c r="H52" i="6"/>
  <c r="R52" i="6" s="1"/>
  <c r="G52" i="6"/>
  <c r="F52" i="6"/>
  <c r="C51" i="6"/>
  <c r="V50" i="6"/>
  <c r="K56" i="6" s="1"/>
  <c r="T50" i="6"/>
  <c r="U50" i="6"/>
  <c r="H56" i="6" s="1"/>
  <c r="S50" i="6"/>
  <c r="H55" i="6" s="1"/>
  <c r="F50" i="6"/>
  <c r="E50" i="6"/>
  <c r="D50" i="6"/>
  <c r="I50" i="6"/>
  <c r="C50" i="6"/>
  <c r="B50" i="6"/>
  <c r="A50" i="6"/>
  <c r="Z49" i="6"/>
  <c r="Y49" i="6"/>
  <c r="X49" i="6"/>
  <c r="L49" i="6"/>
  <c r="Q49" i="6" s="1"/>
  <c r="L48" i="6"/>
  <c r="G48" i="6"/>
  <c r="E48" i="6"/>
  <c r="J47" i="6"/>
  <c r="E47" i="6"/>
  <c r="J46" i="6"/>
  <c r="E46" i="6"/>
  <c r="K45" i="6"/>
  <c r="J45" i="6"/>
  <c r="H45" i="6"/>
  <c r="R45" i="6" s="1"/>
  <c r="G45" i="6"/>
  <c r="F45" i="6"/>
  <c r="C44" i="6"/>
  <c r="V43" i="6"/>
  <c r="K47" i="6" s="1"/>
  <c r="T43" i="6"/>
  <c r="K46" i="6" s="1"/>
  <c r="J49" i="6" s="1"/>
  <c r="P49" i="6" s="1"/>
  <c r="U43" i="6"/>
  <c r="H47" i="6" s="1"/>
  <c r="S43" i="6"/>
  <c r="H46" i="6" s="1"/>
  <c r="G49" i="6" s="1"/>
  <c r="F43" i="6"/>
  <c r="E43" i="6"/>
  <c r="D43" i="6"/>
  <c r="I43" i="6"/>
  <c r="C43" i="6"/>
  <c r="B43" i="6"/>
  <c r="A43" i="6"/>
  <c r="Z42" i="6"/>
  <c r="Y42" i="6"/>
  <c r="X42" i="6"/>
  <c r="L42" i="6"/>
  <c r="Q42" i="6" s="1"/>
  <c r="K40" i="6"/>
  <c r="J41" i="6"/>
  <c r="E41" i="6"/>
  <c r="J40" i="6"/>
  <c r="E40" i="6"/>
  <c r="K39" i="6"/>
  <c r="J39" i="6"/>
  <c r="H39" i="6"/>
  <c r="R39" i="6" s="1"/>
  <c r="G39" i="6"/>
  <c r="F39" i="6"/>
  <c r="K38" i="6"/>
  <c r="J38" i="6"/>
  <c r="H38" i="6"/>
  <c r="G38" i="6"/>
  <c r="F38" i="6"/>
  <c r="C37" i="6"/>
  <c r="V36" i="6"/>
  <c r="K41" i="6" s="1"/>
  <c r="T36" i="6"/>
  <c r="U36" i="6"/>
  <c r="H41" i="6" s="1"/>
  <c r="S36" i="6"/>
  <c r="H40" i="6" s="1"/>
  <c r="G42" i="6" s="1"/>
  <c r="F36" i="6"/>
  <c r="E36" i="6"/>
  <c r="D36" i="6"/>
  <c r="I36" i="6"/>
  <c r="C36" i="6"/>
  <c r="B36" i="6"/>
  <c r="A36" i="6"/>
  <c r="Z35" i="6"/>
  <c r="Y35" i="6"/>
  <c r="X35" i="6"/>
  <c r="L35" i="6"/>
  <c r="Q35" i="6" s="1"/>
  <c r="L34" i="6"/>
  <c r="G34" i="6"/>
  <c r="E34" i="6"/>
  <c r="J33" i="6"/>
  <c r="E33" i="6"/>
  <c r="J32" i="6"/>
  <c r="E32" i="6"/>
  <c r="K31" i="6"/>
  <c r="J31" i="6"/>
  <c r="H31" i="6"/>
  <c r="R31" i="6" s="1"/>
  <c r="G31" i="6"/>
  <c r="F31" i="6"/>
  <c r="C30" i="6"/>
  <c r="V29" i="6"/>
  <c r="K33" i="6" s="1"/>
  <c r="T29" i="6"/>
  <c r="K32" i="6" s="1"/>
  <c r="U29" i="6"/>
  <c r="H33" i="6" s="1"/>
  <c r="S29" i="6"/>
  <c r="H32" i="6" s="1"/>
  <c r="G35" i="6" s="1"/>
  <c r="F29" i="6"/>
  <c r="E29" i="6"/>
  <c r="D29" i="6"/>
  <c r="I29" i="6"/>
  <c r="C29" i="6"/>
  <c r="B29" i="6"/>
  <c r="A29" i="6"/>
  <c r="Z28" i="6"/>
  <c r="Y28" i="6"/>
  <c r="X28" i="6"/>
  <c r="L28" i="6"/>
  <c r="Q28" i="6" s="1"/>
  <c r="L27" i="6"/>
  <c r="G27" i="6"/>
  <c r="E27" i="6"/>
  <c r="J26" i="6"/>
  <c r="E26" i="6"/>
  <c r="J25" i="6"/>
  <c r="E25" i="6"/>
  <c r="K24" i="6"/>
  <c r="J24" i="6"/>
  <c r="H24" i="6"/>
  <c r="R24" i="6" s="1"/>
  <c r="G24" i="6"/>
  <c r="F24" i="6"/>
  <c r="K23" i="6"/>
  <c r="J23" i="6"/>
  <c r="H23" i="6"/>
  <c r="G23" i="6"/>
  <c r="F23" i="6"/>
  <c r="K22" i="6"/>
  <c r="J22" i="6"/>
  <c r="H22" i="6"/>
  <c r="R22" i="6" s="1"/>
  <c r="G22" i="6"/>
  <c r="F22" i="6"/>
  <c r="C21" i="6"/>
  <c r="V20" i="6"/>
  <c r="K26" i="6" s="1"/>
  <c r="T20" i="6"/>
  <c r="K25" i="6" s="1"/>
  <c r="U20" i="6"/>
  <c r="H26" i="6" s="1"/>
  <c r="S20" i="6"/>
  <c r="H25" i="6" s="1"/>
  <c r="F20" i="6"/>
  <c r="E20" i="6"/>
  <c r="D20" i="6"/>
  <c r="I20" i="6"/>
  <c r="C20" i="6"/>
  <c r="B20" i="6"/>
  <c r="A20" i="6"/>
  <c r="AD13" i="6"/>
  <c r="B13" i="6"/>
  <c r="AD11" i="6"/>
  <c r="B11" i="6"/>
  <c r="H6" i="6"/>
  <c r="B6" i="6"/>
  <c r="A1" i="6"/>
  <c r="J203" i="6" l="1"/>
  <c r="J204" i="6" s="1"/>
  <c r="J205" i="6" s="1"/>
  <c r="W160" i="6"/>
  <c r="K115" i="6"/>
  <c r="J67" i="6"/>
  <c r="P67" i="6" s="1"/>
  <c r="H74" i="6"/>
  <c r="G78" i="6" s="1"/>
  <c r="X78" i="6" s="1"/>
  <c r="H85" i="6"/>
  <c r="K107" i="6"/>
  <c r="J42" i="6"/>
  <c r="P42" i="6" s="1"/>
  <c r="J58" i="6"/>
  <c r="P58" i="6" s="1"/>
  <c r="W193" i="6"/>
  <c r="J35" i="6"/>
  <c r="P35" i="6" s="1"/>
  <c r="H106" i="6"/>
  <c r="G110" i="6" s="1"/>
  <c r="J28" i="6"/>
  <c r="P28" i="6" s="1"/>
  <c r="K86" i="6"/>
  <c r="J89" i="6" s="1"/>
  <c r="P89" i="6" s="1"/>
  <c r="H86" i="6"/>
  <c r="G89" i="6" s="1"/>
  <c r="J139" i="6"/>
  <c r="P139" i="6" s="1"/>
  <c r="W172" i="6"/>
  <c r="W178" i="6"/>
  <c r="W181" i="6"/>
  <c r="H114" i="6"/>
  <c r="W187" i="6"/>
  <c r="G131" i="6"/>
  <c r="X131" i="6" s="1"/>
  <c r="W184" i="6"/>
  <c r="H115" i="6"/>
  <c r="G121" i="6" s="1"/>
  <c r="K114" i="6"/>
  <c r="J121" i="6" s="1"/>
  <c r="P121" i="6" s="1"/>
  <c r="K128" i="6"/>
  <c r="J131" i="6" s="1"/>
  <c r="P131" i="6" s="1"/>
  <c r="J78" i="6"/>
  <c r="P78" i="6" s="1"/>
  <c r="G148" i="6"/>
  <c r="W148" i="6" s="1"/>
  <c r="H107" i="6"/>
  <c r="O163" i="6"/>
  <c r="X73" i="7"/>
  <c r="O73" i="7"/>
  <c r="X82" i="7"/>
  <c r="O82" i="7"/>
  <c r="W50" i="7"/>
  <c r="O50" i="7"/>
  <c r="X93" i="7"/>
  <c r="O93" i="7"/>
  <c r="O136" i="7"/>
  <c r="X136" i="7"/>
  <c r="M210" i="7"/>
  <c r="M222" i="7"/>
  <c r="O57" i="7"/>
  <c r="W57" i="7"/>
  <c r="K57" i="7"/>
  <c r="P57" i="7" s="1"/>
  <c r="K222" i="7" s="1"/>
  <c r="X154" i="7"/>
  <c r="O154" i="7"/>
  <c r="W163" i="7"/>
  <c r="O163" i="7"/>
  <c r="W64" i="7"/>
  <c r="O64" i="7"/>
  <c r="O125" i="7"/>
  <c r="X125" i="7"/>
  <c r="W43" i="7"/>
  <c r="O43" i="7"/>
  <c r="O114" i="7"/>
  <c r="X114" i="7"/>
  <c r="H146" i="7"/>
  <c r="K64" i="7"/>
  <c r="P64" i="7" s="1"/>
  <c r="K210" i="7" s="1"/>
  <c r="H104" i="7"/>
  <c r="K136" i="7"/>
  <c r="P136" i="7" s="1"/>
  <c r="Z169" i="7"/>
  <c r="O169" i="7"/>
  <c r="O196" i="7"/>
  <c r="O199" i="7"/>
  <c r="O178" i="7"/>
  <c r="W202" i="7"/>
  <c r="J148" i="6"/>
  <c r="P148" i="6" s="1"/>
  <c r="G28" i="6"/>
  <c r="W35" i="6"/>
  <c r="O35" i="6"/>
  <c r="L196" i="6"/>
  <c r="G58" i="6"/>
  <c r="X67" i="6"/>
  <c r="O67" i="6"/>
  <c r="G99" i="6"/>
  <c r="J99" i="6"/>
  <c r="P99" i="6" s="1"/>
  <c r="W49" i="6"/>
  <c r="O49" i="6"/>
  <c r="O42" i="6"/>
  <c r="W42" i="6"/>
  <c r="J110" i="6"/>
  <c r="P110" i="6" s="1"/>
  <c r="Z154" i="6"/>
  <c r="O154" i="6"/>
  <c r="G139" i="6"/>
  <c r="W169" i="6"/>
  <c r="W175" i="6"/>
  <c r="O157" i="6"/>
  <c r="O190" i="6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1" i="3"/>
  <c r="Y1" i="3"/>
  <c r="CU1" i="3"/>
  <c r="CV1" i="3"/>
  <c r="CX1" i="3"/>
  <c r="CY1" i="3"/>
  <c r="CZ1" i="3"/>
  <c r="DA1" i="3"/>
  <c r="DB1" i="3"/>
  <c r="DC1" i="3"/>
  <c r="A2" i="3"/>
  <c r="Y2" i="3"/>
  <c r="CX2" i="3"/>
  <c r="CY2" i="3"/>
  <c r="CZ2" i="3"/>
  <c r="DB2" i="3" s="1"/>
  <c r="DA2" i="3"/>
  <c r="DC2" i="3"/>
  <c r="A3" i="3"/>
  <c r="Y3" i="3"/>
  <c r="CW3" i="3" s="1"/>
  <c r="CX3" i="3"/>
  <c r="CY3" i="3"/>
  <c r="CZ3" i="3"/>
  <c r="DA3" i="3"/>
  <c r="DB3" i="3"/>
  <c r="DC3" i="3"/>
  <c r="A4" i="3"/>
  <c r="Y4" i="3"/>
  <c r="CY4" i="3"/>
  <c r="CZ4" i="3"/>
  <c r="DB4" i="3" s="1"/>
  <c r="DA4" i="3"/>
  <c r="DC4" i="3"/>
  <c r="A5" i="3"/>
  <c r="Y5" i="3"/>
  <c r="CY5" i="3"/>
  <c r="CZ5" i="3"/>
  <c r="DA5" i="3"/>
  <c r="DB5" i="3"/>
  <c r="DC5" i="3"/>
  <c r="A6" i="3"/>
  <c r="Y6" i="3"/>
  <c r="CY6" i="3"/>
  <c r="CZ6" i="3"/>
  <c r="DB6" i="3" s="1"/>
  <c r="DA6" i="3"/>
  <c r="DC6" i="3"/>
  <c r="A7" i="3"/>
  <c r="Y7" i="3"/>
  <c r="CU7" i="3"/>
  <c r="CV7" i="3"/>
  <c r="CY7" i="3"/>
  <c r="CZ7" i="3"/>
  <c r="DA7" i="3"/>
  <c r="DB7" i="3"/>
  <c r="DC7" i="3"/>
  <c r="DH7" i="3"/>
  <c r="A8" i="3"/>
  <c r="Y8" i="3"/>
  <c r="CU8" i="3"/>
  <c r="CY8" i="3"/>
  <c r="CZ8" i="3"/>
  <c r="DA8" i="3"/>
  <c r="DB8" i="3"/>
  <c r="DC8" i="3"/>
  <c r="A9" i="3"/>
  <c r="Y9" i="3"/>
  <c r="CY9" i="3"/>
  <c r="CZ9" i="3"/>
  <c r="DB9" i="3" s="1"/>
  <c r="DA9" i="3"/>
  <c r="DC9" i="3"/>
  <c r="A10" i="3"/>
  <c r="Y10" i="3"/>
  <c r="CY10" i="3"/>
  <c r="CZ10" i="3"/>
  <c r="DA10" i="3"/>
  <c r="DB10" i="3"/>
  <c r="DC10" i="3"/>
  <c r="A11" i="3"/>
  <c r="Y11" i="3"/>
  <c r="CV11" i="3"/>
  <c r="CY11" i="3"/>
  <c r="CZ11" i="3"/>
  <c r="DB11" i="3" s="1"/>
  <c r="DA11" i="3"/>
  <c r="DC11" i="3"/>
  <c r="DF11" i="3"/>
  <c r="A12" i="3"/>
  <c r="Y12" i="3"/>
  <c r="CW12" i="3"/>
  <c r="CY12" i="3"/>
  <c r="CZ12" i="3"/>
  <c r="DB12" i="3" s="1"/>
  <c r="DA12" i="3"/>
  <c r="DC12" i="3"/>
  <c r="A13" i="3"/>
  <c r="Y13" i="3"/>
  <c r="CX13" i="3"/>
  <c r="CY13" i="3"/>
  <c r="CZ13" i="3"/>
  <c r="DA13" i="3"/>
  <c r="DB13" i="3"/>
  <c r="DC13" i="3"/>
  <c r="A14" i="3"/>
  <c r="Y14" i="3"/>
  <c r="CV14" i="3" s="1"/>
  <c r="CU14" i="3"/>
  <c r="CX14" i="3"/>
  <c r="CY14" i="3"/>
  <c r="CZ14" i="3"/>
  <c r="DA14" i="3"/>
  <c r="DB14" i="3"/>
  <c r="DC14" i="3"/>
  <c r="A15" i="3"/>
  <c r="Y15" i="3"/>
  <c r="CX15" i="3" s="1"/>
  <c r="DG15" i="3" s="1"/>
  <c r="CY15" i="3"/>
  <c r="CZ15" i="3"/>
  <c r="DA15" i="3"/>
  <c r="DB15" i="3"/>
  <c r="DC15" i="3"/>
  <c r="A16" i="3"/>
  <c r="Y16" i="3"/>
  <c r="CW16" i="3" s="1"/>
  <c r="CY16" i="3"/>
  <c r="CZ16" i="3"/>
  <c r="DB16" i="3" s="1"/>
  <c r="DA16" i="3"/>
  <c r="DC16" i="3"/>
  <c r="A17" i="3"/>
  <c r="Y17" i="3"/>
  <c r="CW17" i="3"/>
  <c r="CX17" i="3"/>
  <c r="CY17" i="3"/>
  <c r="CZ17" i="3"/>
  <c r="DB17" i="3" s="1"/>
  <c r="DA17" i="3"/>
  <c r="DC17" i="3"/>
  <c r="DG17" i="3"/>
  <c r="DJ17" i="3" s="1"/>
  <c r="A18" i="3"/>
  <c r="Y18" i="3"/>
  <c r="CW18" i="3"/>
  <c r="CY18" i="3"/>
  <c r="CZ18" i="3"/>
  <c r="DB18" i="3" s="1"/>
  <c r="DA18" i="3"/>
  <c r="DC18" i="3"/>
  <c r="A19" i="3"/>
  <c r="Y19" i="3"/>
  <c r="CX19" i="3" s="1"/>
  <c r="CW19" i="3"/>
  <c r="CY19" i="3"/>
  <c r="CZ19" i="3"/>
  <c r="DA19" i="3"/>
  <c r="DB19" i="3"/>
  <c r="DC19" i="3"/>
  <c r="A20" i="3"/>
  <c r="Y20" i="3"/>
  <c r="CX20" i="3" s="1"/>
  <c r="CY20" i="3"/>
  <c r="CZ20" i="3"/>
  <c r="DB20" i="3" s="1"/>
  <c r="DA20" i="3"/>
  <c r="DC20" i="3"/>
  <c r="A21" i="3"/>
  <c r="Y21" i="3"/>
  <c r="CY21" i="3"/>
  <c r="CZ21" i="3"/>
  <c r="DB21" i="3" s="1"/>
  <c r="DA21" i="3"/>
  <c r="DC21" i="3"/>
  <c r="A22" i="3"/>
  <c r="Y22" i="3"/>
  <c r="CX22" i="3"/>
  <c r="DI22" i="3" s="1"/>
  <c r="CY22" i="3"/>
  <c r="CZ22" i="3"/>
  <c r="DA22" i="3"/>
  <c r="DB22" i="3"/>
  <c r="DC22" i="3"/>
  <c r="DF22" i="3"/>
  <c r="DJ22" i="3" s="1"/>
  <c r="DG22" i="3"/>
  <c r="DH22" i="3"/>
  <c r="A23" i="3"/>
  <c r="Y23" i="3"/>
  <c r="CX23" i="3" s="1"/>
  <c r="DI23" i="3" s="1"/>
  <c r="CY23" i="3"/>
  <c r="CZ23" i="3"/>
  <c r="DA23" i="3"/>
  <c r="DB23" i="3"/>
  <c r="DC23" i="3"/>
  <c r="DF23" i="3"/>
  <c r="DJ23" i="3" s="1"/>
  <c r="DG23" i="3"/>
  <c r="DH23" i="3"/>
  <c r="A24" i="3"/>
  <c r="Y24" i="3"/>
  <c r="CX24" i="3"/>
  <c r="CY24" i="3"/>
  <c r="CZ24" i="3"/>
  <c r="DA24" i="3"/>
  <c r="DB24" i="3"/>
  <c r="DC24" i="3"/>
  <c r="DF24" i="3"/>
  <c r="DH24" i="3"/>
  <c r="A25" i="3"/>
  <c r="Y25" i="3"/>
  <c r="CX25" i="3"/>
  <c r="CY25" i="3"/>
  <c r="CZ25" i="3"/>
  <c r="DA25" i="3"/>
  <c r="DB25" i="3"/>
  <c r="DC25" i="3"/>
  <c r="A26" i="3"/>
  <c r="Y26" i="3"/>
  <c r="CW26" i="3"/>
  <c r="CX26" i="3"/>
  <c r="CY26" i="3"/>
  <c r="CZ26" i="3"/>
  <c r="DB26" i="3" s="1"/>
  <c r="DA26" i="3"/>
  <c r="DC26" i="3"/>
  <c r="A27" i="3"/>
  <c r="Y27" i="3"/>
  <c r="CW27" i="3"/>
  <c r="CX27" i="3"/>
  <c r="CY27" i="3"/>
  <c r="CZ27" i="3"/>
  <c r="DA27" i="3"/>
  <c r="DB27" i="3"/>
  <c r="DC27" i="3"/>
  <c r="A28" i="3"/>
  <c r="Y28" i="3"/>
  <c r="CW28" i="3"/>
  <c r="CY28" i="3"/>
  <c r="CZ28" i="3"/>
  <c r="DB28" i="3" s="1"/>
  <c r="DA28" i="3"/>
  <c r="DC28" i="3"/>
  <c r="A29" i="3"/>
  <c r="Y29" i="3"/>
  <c r="CY29" i="3"/>
  <c r="CZ29" i="3"/>
  <c r="DA29" i="3"/>
  <c r="DB29" i="3"/>
  <c r="DC29" i="3"/>
  <c r="A30" i="3"/>
  <c r="Y30" i="3"/>
  <c r="CX30" i="3" s="1"/>
  <c r="DG30" i="3" s="1"/>
  <c r="CY30" i="3"/>
  <c r="CZ30" i="3"/>
  <c r="DA30" i="3"/>
  <c r="DB30" i="3"/>
  <c r="DC30" i="3"/>
  <c r="DF30" i="3"/>
  <c r="DJ30" i="3" s="1"/>
  <c r="DH30" i="3"/>
  <c r="DI30" i="3"/>
  <c r="A31" i="3"/>
  <c r="Y31" i="3"/>
  <c r="CX31" i="3" s="1"/>
  <c r="CY31" i="3"/>
  <c r="CZ31" i="3"/>
  <c r="DB31" i="3" s="1"/>
  <c r="DA31" i="3"/>
  <c r="DC31" i="3"/>
  <c r="DF31" i="3"/>
  <c r="DG31" i="3"/>
  <c r="DJ31" i="3"/>
  <c r="A32" i="3"/>
  <c r="Y32" i="3"/>
  <c r="CX32" i="3" s="1"/>
  <c r="CY32" i="3"/>
  <c r="CZ32" i="3"/>
  <c r="DA32" i="3"/>
  <c r="DB32" i="3"/>
  <c r="DC32" i="3"/>
  <c r="DG32" i="3"/>
  <c r="DI32" i="3"/>
  <c r="A33" i="3"/>
  <c r="Y33" i="3"/>
  <c r="CV33" i="3"/>
  <c r="CX33" i="3"/>
  <c r="CY33" i="3"/>
  <c r="CZ33" i="3"/>
  <c r="DB33" i="3" s="1"/>
  <c r="DA33" i="3"/>
  <c r="DC33" i="3"/>
  <c r="A34" i="3"/>
  <c r="Y34" i="3"/>
  <c r="CY34" i="3"/>
  <c r="CZ34" i="3"/>
  <c r="DB34" i="3" s="1"/>
  <c r="DA34" i="3"/>
  <c r="DC34" i="3"/>
  <c r="A35" i="3"/>
  <c r="Y35" i="3"/>
  <c r="CY35" i="3"/>
  <c r="CZ35" i="3"/>
  <c r="DA35" i="3"/>
  <c r="DB35" i="3"/>
  <c r="DC35" i="3"/>
  <c r="A36" i="3"/>
  <c r="Y36" i="3"/>
  <c r="CY36" i="3"/>
  <c r="CZ36" i="3"/>
  <c r="DB36" i="3" s="1"/>
  <c r="DA36" i="3"/>
  <c r="DC36" i="3"/>
  <c r="A37" i="3"/>
  <c r="Y37" i="3"/>
  <c r="CY37" i="3"/>
  <c r="CZ37" i="3"/>
  <c r="DA37" i="3"/>
  <c r="DB37" i="3"/>
  <c r="DC37" i="3"/>
  <c r="A38" i="3"/>
  <c r="Y38" i="3"/>
  <c r="CY38" i="3"/>
  <c r="CZ38" i="3"/>
  <c r="DA38" i="3"/>
  <c r="DB38" i="3"/>
  <c r="DC38" i="3"/>
  <c r="A39" i="3"/>
  <c r="Y39" i="3"/>
  <c r="CY39" i="3"/>
  <c r="CZ39" i="3"/>
  <c r="DA39" i="3"/>
  <c r="DB39" i="3"/>
  <c r="DC39" i="3"/>
  <c r="A40" i="3"/>
  <c r="Y40" i="3"/>
  <c r="CY40" i="3"/>
  <c r="CZ40" i="3"/>
  <c r="DB40" i="3" s="1"/>
  <c r="DA40" i="3"/>
  <c r="DC40" i="3"/>
  <c r="A41" i="3"/>
  <c r="Y41" i="3"/>
  <c r="CY41" i="3"/>
  <c r="CZ41" i="3"/>
  <c r="DA41" i="3"/>
  <c r="DB41" i="3"/>
  <c r="DC41" i="3"/>
  <c r="A42" i="3"/>
  <c r="Y42" i="3"/>
  <c r="CX42" i="3"/>
  <c r="CY42" i="3"/>
  <c r="CZ42" i="3"/>
  <c r="DB42" i="3" s="1"/>
  <c r="DA42" i="3"/>
  <c r="DC42" i="3"/>
  <c r="A43" i="3"/>
  <c r="Y43" i="3"/>
  <c r="CY43" i="3"/>
  <c r="CZ43" i="3"/>
  <c r="DB43" i="3" s="1"/>
  <c r="DA43" i="3"/>
  <c r="DC43" i="3"/>
  <c r="A44" i="3"/>
  <c r="Y44" i="3"/>
  <c r="CY44" i="3"/>
  <c r="CZ44" i="3"/>
  <c r="DB44" i="3" s="1"/>
  <c r="DA44" i="3"/>
  <c r="DC44" i="3"/>
  <c r="A45" i="3"/>
  <c r="Y45" i="3"/>
  <c r="CY45" i="3"/>
  <c r="CZ45" i="3"/>
  <c r="DA45" i="3"/>
  <c r="DB45" i="3"/>
  <c r="DC45" i="3"/>
  <c r="A46" i="3"/>
  <c r="Y46" i="3"/>
  <c r="CY46" i="3"/>
  <c r="CZ46" i="3"/>
  <c r="DA46" i="3"/>
  <c r="DB46" i="3"/>
  <c r="DC46" i="3"/>
  <c r="A47" i="3"/>
  <c r="Y47" i="3"/>
  <c r="CW47" i="3" s="1"/>
  <c r="CY47" i="3"/>
  <c r="CZ47" i="3"/>
  <c r="DA47" i="3"/>
  <c r="DB47" i="3"/>
  <c r="DC47" i="3"/>
  <c r="A48" i="3"/>
  <c r="Y48" i="3"/>
  <c r="CY48" i="3"/>
  <c r="CZ48" i="3"/>
  <c r="DA48" i="3"/>
  <c r="DB48" i="3"/>
  <c r="DC48" i="3"/>
  <c r="A49" i="3"/>
  <c r="Y49" i="3"/>
  <c r="CW49" i="3"/>
  <c r="CX49" i="3"/>
  <c r="CY49" i="3"/>
  <c r="CZ49" i="3"/>
  <c r="DA49" i="3"/>
  <c r="DB49" i="3"/>
  <c r="DC49" i="3"/>
  <c r="A50" i="3"/>
  <c r="Y50" i="3"/>
  <c r="CX50" i="3"/>
  <c r="CY50" i="3"/>
  <c r="CZ50" i="3"/>
  <c r="DA50" i="3"/>
  <c r="DB50" i="3"/>
  <c r="DC50" i="3"/>
  <c r="A51" i="3"/>
  <c r="Y51" i="3"/>
  <c r="CX51" i="3"/>
  <c r="CY51" i="3"/>
  <c r="CZ51" i="3"/>
  <c r="DB51" i="3" s="1"/>
  <c r="DA51" i="3"/>
  <c r="DC51" i="3"/>
  <c r="A52" i="3"/>
  <c r="Y52" i="3"/>
  <c r="CY52" i="3"/>
  <c r="CZ52" i="3"/>
  <c r="DB52" i="3" s="1"/>
  <c r="DA52" i="3"/>
  <c r="DC52" i="3"/>
  <c r="A53" i="3"/>
  <c r="Y53" i="3"/>
  <c r="CY53" i="3"/>
  <c r="CZ53" i="3"/>
  <c r="DA53" i="3"/>
  <c r="DB53" i="3"/>
  <c r="DC53" i="3"/>
  <c r="A54" i="3"/>
  <c r="Y54" i="3"/>
  <c r="CU54" i="3"/>
  <c r="CY54" i="3"/>
  <c r="CZ54" i="3"/>
  <c r="DB54" i="3" s="1"/>
  <c r="DA54" i="3"/>
  <c r="DC54" i="3"/>
  <c r="A55" i="3"/>
  <c r="Y55" i="3"/>
  <c r="CX55" i="3"/>
  <c r="DG55" i="3" s="1"/>
  <c r="CY55" i="3"/>
  <c r="CZ55" i="3"/>
  <c r="DB55" i="3" s="1"/>
  <c r="DA55" i="3"/>
  <c r="DC55" i="3"/>
  <c r="A56" i="3"/>
  <c r="Y56" i="3"/>
  <c r="CX56" i="3" s="1"/>
  <c r="CY56" i="3"/>
  <c r="CZ56" i="3"/>
  <c r="DB56" i="3" s="1"/>
  <c r="DA56" i="3"/>
  <c r="DC56" i="3"/>
  <c r="DG56" i="3"/>
  <c r="DH56" i="3"/>
  <c r="A57" i="3"/>
  <c r="Y57" i="3"/>
  <c r="CX57" i="3" s="1"/>
  <c r="CY57" i="3"/>
  <c r="CZ57" i="3"/>
  <c r="DA57" i="3"/>
  <c r="DB57" i="3"/>
  <c r="DC57" i="3"/>
  <c r="DG57" i="3"/>
  <c r="A58" i="3"/>
  <c r="Y58" i="3"/>
  <c r="CX58" i="3" s="1"/>
  <c r="CY58" i="3"/>
  <c r="CZ58" i="3"/>
  <c r="DB58" i="3" s="1"/>
  <c r="DA58" i="3"/>
  <c r="DC58" i="3"/>
  <c r="DF58" i="3"/>
  <c r="DJ58" i="3" s="1"/>
  <c r="A59" i="3"/>
  <c r="Y59" i="3"/>
  <c r="CU59" i="3"/>
  <c r="CV59" i="3"/>
  <c r="CX59" i="3"/>
  <c r="CY59" i="3"/>
  <c r="CZ59" i="3"/>
  <c r="DB59" i="3" s="1"/>
  <c r="DA59" i="3"/>
  <c r="DC59" i="3"/>
  <c r="A60" i="3"/>
  <c r="Y60" i="3"/>
  <c r="CX60" i="3" s="1"/>
  <c r="CY60" i="3"/>
  <c r="CZ60" i="3"/>
  <c r="DB60" i="3" s="1"/>
  <c r="DA60" i="3"/>
  <c r="DC60" i="3"/>
  <c r="A61" i="3"/>
  <c r="Y61" i="3"/>
  <c r="CW61" i="3"/>
  <c r="CX61" i="3"/>
  <c r="CY61" i="3"/>
  <c r="CZ61" i="3"/>
  <c r="DA61" i="3"/>
  <c r="DB61" i="3"/>
  <c r="DC61" i="3"/>
  <c r="DI61" i="3"/>
  <c r="A62" i="3"/>
  <c r="Y62" i="3"/>
  <c r="CY62" i="3"/>
  <c r="CZ62" i="3"/>
  <c r="DB62" i="3" s="1"/>
  <c r="DA62" i="3"/>
  <c r="DC62" i="3"/>
  <c r="A63" i="3"/>
  <c r="Y63" i="3"/>
  <c r="CX63" i="3"/>
  <c r="CY63" i="3"/>
  <c r="CZ63" i="3"/>
  <c r="DB63" i="3" s="1"/>
  <c r="DA63" i="3"/>
  <c r="DC63" i="3"/>
  <c r="DF63" i="3"/>
  <c r="DJ63" i="3" s="1"/>
  <c r="DH63" i="3"/>
  <c r="A64" i="3"/>
  <c r="Y64" i="3"/>
  <c r="CX64" i="3" s="1"/>
  <c r="CY64" i="3"/>
  <c r="CZ64" i="3"/>
  <c r="DA64" i="3"/>
  <c r="DB64" i="3"/>
  <c r="DC64" i="3"/>
  <c r="DG64" i="3"/>
  <c r="DH64" i="3"/>
  <c r="A65" i="3"/>
  <c r="Y65" i="3"/>
  <c r="CX65" i="3"/>
  <c r="CY65" i="3"/>
  <c r="CZ65" i="3"/>
  <c r="DB65" i="3" s="1"/>
  <c r="DA65" i="3"/>
  <c r="DC65" i="3"/>
  <c r="DF65" i="3"/>
  <c r="DJ65" i="3"/>
  <c r="A66" i="3"/>
  <c r="Y66" i="3"/>
  <c r="CX66" i="3" s="1"/>
  <c r="CY66" i="3"/>
  <c r="CZ66" i="3"/>
  <c r="DB66" i="3" s="1"/>
  <c r="DA66" i="3"/>
  <c r="DC66" i="3"/>
  <c r="A67" i="3"/>
  <c r="Y67" i="3"/>
  <c r="CX67" i="3"/>
  <c r="CY67" i="3"/>
  <c r="CZ67" i="3"/>
  <c r="DA67" i="3"/>
  <c r="DB67" i="3"/>
  <c r="DC67" i="3"/>
  <c r="A68" i="3"/>
  <c r="Y68" i="3"/>
  <c r="CU68" i="3"/>
  <c r="CV68" i="3"/>
  <c r="CY68" i="3"/>
  <c r="CZ68" i="3"/>
  <c r="DB68" i="3" s="1"/>
  <c r="DA68" i="3"/>
  <c r="DC68" i="3"/>
  <c r="A69" i="3"/>
  <c r="Y69" i="3"/>
  <c r="CY69" i="3"/>
  <c r="CZ69" i="3"/>
  <c r="DA69" i="3"/>
  <c r="DB69" i="3"/>
  <c r="DC69" i="3"/>
  <c r="A70" i="3"/>
  <c r="Y70" i="3"/>
  <c r="CY70" i="3"/>
  <c r="CZ70" i="3"/>
  <c r="DA70" i="3"/>
  <c r="DB70" i="3"/>
  <c r="DC70" i="3"/>
  <c r="A71" i="3"/>
  <c r="Y71" i="3"/>
  <c r="CY71" i="3"/>
  <c r="CZ71" i="3"/>
  <c r="DA71" i="3"/>
  <c r="DB71" i="3"/>
  <c r="DC71" i="3"/>
  <c r="A72" i="3"/>
  <c r="Y72" i="3"/>
  <c r="CY72" i="3"/>
  <c r="CZ72" i="3"/>
  <c r="DB72" i="3" s="1"/>
  <c r="DA72" i="3"/>
  <c r="DC72" i="3"/>
  <c r="A73" i="3"/>
  <c r="Y73" i="3"/>
  <c r="CY73" i="3"/>
  <c r="CZ73" i="3"/>
  <c r="DA73" i="3"/>
  <c r="DB73" i="3"/>
  <c r="DC73" i="3"/>
  <c r="A74" i="3"/>
  <c r="Y74" i="3"/>
  <c r="CY74" i="3"/>
  <c r="CZ74" i="3"/>
  <c r="DA74" i="3"/>
  <c r="DB74" i="3"/>
  <c r="DC74" i="3"/>
  <c r="A75" i="3"/>
  <c r="Y75" i="3"/>
  <c r="CY75" i="3"/>
  <c r="CZ75" i="3"/>
  <c r="DB75" i="3" s="1"/>
  <c r="DA75" i="3"/>
  <c r="DC75" i="3"/>
  <c r="A76" i="3"/>
  <c r="Y76" i="3"/>
  <c r="CX76" i="3" s="1"/>
  <c r="CY76" i="3"/>
  <c r="CZ76" i="3"/>
  <c r="DB76" i="3" s="1"/>
  <c r="DA76" i="3"/>
  <c r="DC76" i="3"/>
  <c r="A77" i="3"/>
  <c r="Y77" i="3"/>
  <c r="CU77" i="3"/>
  <c r="CV77" i="3"/>
  <c r="CX77" i="3"/>
  <c r="DI77" i="3" s="1"/>
  <c r="CY77" i="3"/>
  <c r="CZ77" i="3"/>
  <c r="DB77" i="3" s="1"/>
  <c r="DA77" i="3"/>
  <c r="DC77" i="3"/>
  <c r="DF77" i="3"/>
  <c r="DG77" i="3"/>
  <c r="DH77" i="3"/>
  <c r="DJ77" i="3"/>
  <c r="A78" i="3"/>
  <c r="Y78" i="3"/>
  <c r="CU78" i="3"/>
  <c r="CV78" i="3"/>
  <c r="CX78" i="3"/>
  <c r="CY78" i="3"/>
  <c r="CZ78" i="3"/>
  <c r="DA78" i="3"/>
  <c r="DB78" i="3"/>
  <c r="DC78" i="3"/>
  <c r="DG78" i="3"/>
  <c r="DH78" i="3"/>
  <c r="D12" i="1"/>
  <c r="C18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B22" i="1"/>
  <c r="D22" i="1"/>
  <c r="E22" i="1"/>
  <c r="Z22" i="1"/>
  <c r="AA22" i="1"/>
  <c r="AM22" i="1"/>
  <c r="AN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C24" i="1"/>
  <c r="D24" i="1"/>
  <c r="I24" i="1"/>
  <c r="K24" i="1"/>
  <c r="U24" i="1"/>
  <c r="W24" i="1"/>
  <c r="AC24" i="1"/>
  <c r="AB24" i="1" s="1"/>
  <c r="AE24" i="1"/>
  <c r="AD24" i="1" s="1"/>
  <c r="AF24" i="1"/>
  <c r="AG24" i="1"/>
  <c r="CU24" i="1" s="1"/>
  <c r="T24" i="1" s="1"/>
  <c r="AH24" i="1"/>
  <c r="AI24" i="1"/>
  <c r="CW24" i="1" s="1"/>
  <c r="V24" i="1" s="1"/>
  <c r="AJ24" i="1"/>
  <c r="CX24" i="1" s="1"/>
  <c r="CQ24" i="1"/>
  <c r="P24" i="1" s="1"/>
  <c r="CR24" i="1"/>
  <c r="Q24" i="1" s="1"/>
  <c r="CS24" i="1"/>
  <c r="R24" i="1" s="1"/>
  <c r="CT24" i="1"/>
  <c r="S24" i="1" s="1"/>
  <c r="CV24" i="1"/>
  <c r="FR24" i="1"/>
  <c r="GL24" i="1"/>
  <c r="GO24" i="1"/>
  <c r="GP24" i="1"/>
  <c r="GV24" i="1"/>
  <c r="HC24" i="1"/>
  <c r="GX24" i="1" s="1"/>
  <c r="C25" i="1"/>
  <c r="D25" i="1"/>
  <c r="I25" i="1"/>
  <c r="CU4" i="3" s="1"/>
  <c r="K25" i="1"/>
  <c r="S25" i="1"/>
  <c r="U25" i="1"/>
  <c r="V25" i="1"/>
  <c r="W25" i="1"/>
  <c r="AC25" i="1"/>
  <c r="AD25" i="1"/>
  <c r="AE25" i="1"/>
  <c r="AF25" i="1"/>
  <c r="CT25" i="1" s="1"/>
  <c r="AG25" i="1"/>
  <c r="AH25" i="1"/>
  <c r="AI25" i="1"/>
  <c r="CW25" i="1" s="1"/>
  <c r="AJ25" i="1"/>
  <c r="CX25" i="1" s="1"/>
  <c r="CR25" i="1"/>
  <c r="Q25" i="1" s="1"/>
  <c r="CS25" i="1"/>
  <c r="R25" i="1" s="1"/>
  <c r="CU25" i="1"/>
  <c r="T25" i="1" s="1"/>
  <c r="CV25" i="1"/>
  <c r="FR25" i="1"/>
  <c r="GL25" i="1"/>
  <c r="GO25" i="1"/>
  <c r="GP25" i="1"/>
  <c r="GV25" i="1"/>
  <c r="HC25" i="1"/>
  <c r="GX25" i="1" s="1"/>
  <c r="C26" i="1"/>
  <c r="D26" i="1"/>
  <c r="I26" i="1"/>
  <c r="CX5" i="3" s="1"/>
  <c r="K26" i="1"/>
  <c r="R26" i="1"/>
  <c r="S26" i="1"/>
  <c r="T26" i="1"/>
  <c r="AC26" i="1"/>
  <c r="CQ26" i="1" s="1"/>
  <c r="AE26" i="1"/>
  <c r="AF26" i="1"/>
  <c r="AG26" i="1"/>
  <c r="CU26" i="1" s="1"/>
  <c r="AH26" i="1"/>
  <c r="AI26" i="1"/>
  <c r="CW26" i="1" s="1"/>
  <c r="V26" i="1" s="1"/>
  <c r="AJ26" i="1"/>
  <c r="CX26" i="1" s="1"/>
  <c r="W26" i="1" s="1"/>
  <c r="CS26" i="1"/>
  <c r="CT26" i="1"/>
  <c r="CV26" i="1"/>
  <c r="U26" i="1" s="1"/>
  <c r="FR26" i="1"/>
  <c r="GL26" i="1"/>
  <c r="GO26" i="1"/>
  <c r="GP26" i="1"/>
  <c r="GV26" i="1"/>
  <c r="GX26" i="1"/>
  <c r="HC26" i="1"/>
  <c r="C27" i="1"/>
  <c r="D27" i="1"/>
  <c r="I27" i="1"/>
  <c r="CX7" i="3" s="1"/>
  <c r="DG7" i="3" s="1"/>
  <c r="K27" i="1"/>
  <c r="V27" i="1"/>
  <c r="W27" i="1"/>
  <c r="AB27" i="1"/>
  <c r="AC27" i="1"/>
  <c r="AE27" i="1"/>
  <c r="AD27" i="1" s="1"/>
  <c r="AF27" i="1"/>
  <c r="AG27" i="1"/>
  <c r="CU27" i="1" s="1"/>
  <c r="AH27" i="1"/>
  <c r="AI27" i="1"/>
  <c r="CW27" i="1" s="1"/>
  <c r="AJ27" i="1"/>
  <c r="CQ27" i="1"/>
  <c r="P27" i="1" s="1"/>
  <c r="CR27" i="1"/>
  <c r="Q27" i="1" s="1"/>
  <c r="CS27" i="1"/>
  <c r="R27" i="1" s="1"/>
  <c r="CT27" i="1"/>
  <c r="S27" i="1" s="1"/>
  <c r="CV27" i="1"/>
  <c r="CX27" i="1"/>
  <c r="FR27" i="1"/>
  <c r="GL27" i="1"/>
  <c r="GO27" i="1"/>
  <c r="GP27" i="1"/>
  <c r="GV27" i="1"/>
  <c r="GX27" i="1"/>
  <c r="HC27" i="1"/>
  <c r="C28" i="1"/>
  <c r="D28" i="1"/>
  <c r="I28" i="1"/>
  <c r="K28" i="1"/>
  <c r="Q28" i="1"/>
  <c r="CP28" i="1" s="1"/>
  <c r="O28" i="1" s="1"/>
  <c r="S28" i="1"/>
  <c r="U28" i="1"/>
  <c r="V28" i="1"/>
  <c r="W28" i="1"/>
  <c r="AC28" i="1"/>
  <c r="CQ28" i="1" s="1"/>
  <c r="P28" i="1" s="1"/>
  <c r="AD28" i="1"/>
  <c r="AE28" i="1"/>
  <c r="AF28" i="1"/>
  <c r="AG28" i="1"/>
  <c r="CU28" i="1" s="1"/>
  <c r="T28" i="1" s="1"/>
  <c r="AH28" i="1"/>
  <c r="AI28" i="1"/>
  <c r="CW28" i="1" s="1"/>
  <c r="AJ28" i="1"/>
  <c r="CX28" i="1" s="1"/>
  <c r="CR28" i="1"/>
  <c r="CS28" i="1"/>
  <c r="R28" i="1" s="1"/>
  <c r="CT28" i="1"/>
  <c r="CV28" i="1"/>
  <c r="FR28" i="1"/>
  <c r="GL28" i="1"/>
  <c r="GN28" i="1"/>
  <c r="GP28" i="1"/>
  <c r="GV28" i="1"/>
  <c r="HC28" i="1" s="1"/>
  <c r="GX28" i="1" s="1"/>
  <c r="C29" i="1"/>
  <c r="D29" i="1"/>
  <c r="I29" i="1"/>
  <c r="CX11" i="3" s="1"/>
  <c r="K29" i="1"/>
  <c r="Q29" i="1"/>
  <c r="AC29" i="1"/>
  <c r="CQ29" i="1" s="1"/>
  <c r="P29" i="1" s="1"/>
  <c r="AE29" i="1"/>
  <c r="AD29" i="1" s="1"/>
  <c r="AF29" i="1"/>
  <c r="AG29" i="1"/>
  <c r="CU29" i="1" s="1"/>
  <c r="T29" i="1" s="1"/>
  <c r="AH29" i="1"/>
  <c r="CV29" i="1" s="1"/>
  <c r="U29" i="1" s="1"/>
  <c r="AI29" i="1"/>
  <c r="CW29" i="1" s="1"/>
  <c r="V29" i="1" s="1"/>
  <c r="AJ29" i="1"/>
  <c r="CX29" i="1" s="1"/>
  <c r="W29" i="1" s="1"/>
  <c r="CR29" i="1"/>
  <c r="FR29" i="1"/>
  <c r="GL29" i="1"/>
  <c r="GN29" i="1"/>
  <c r="GP29" i="1"/>
  <c r="GV29" i="1"/>
  <c r="HC29" i="1"/>
  <c r="GX29" i="1" s="1"/>
  <c r="C30" i="1"/>
  <c r="D30" i="1"/>
  <c r="I30" i="1"/>
  <c r="CX18" i="3" s="1"/>
  <c r="K30" i="1"/>
  <c r="U30" i="1"/>
  <c r="V30" i="1"/>
  <c r="AC30" i="1"/>
  <c r="AE30" i="1"/>
  <c r="AF30" i="1"/>
  <c r="CT30" i="1" s="1"/>
  <c r="S30" i="1" s="1"/>
  <c r="AG30" i="1"/>
  <c r="CU30" i="1" s="1"/>
  <c r="T30" i="1" s="1"/>
  <c r="AH30" i="1"/>
  <c r="AI30" i="1"/>
  <c r="CW30" i="1" s="1"/>
  <c r="AJ30" i="1"/>
  <c r="CX30" i="1" s="1"/>
  <c r="W30" i="1" s="1"/>
  <c r="CQ30" i="1"/>
  <c r="P30" i="1" s="1"/>
  <c r="CV30" i="1"/>
  <c r="FR30" i="1"/>
  <c r="GL30" i="1"/>
  <c r="GN30" i="1"/>
  <c r="GP30" i="1"/>
  <c r="GV30" i="1"/>
  <c r="GX30" i="1"/>
  <c r="HC30" i="1"/>
  <c r="I31" i="1"/>
  <c r="R31" i="1"/>
  <c r="S31" i="1"/>
  <c r="T31" i="1"/>
  <c r="U31" i="1"/>
  <c r="V31" i="1"/>
  <c r="AC31" i="1"/>
  <c r="AD31" i="1"/>
  <c r="AB31" i="1" s="1"/>
  <c r="AE31" i="1"/>
  <c r="CS31" i="1" s="1"/>
  <c r="AF31" i="1"/>
  <c r="CT31" i="1" s="1"/>
  <c r="AG31" i="1"/>
  <c r="AH31" i="1"/>
  <c r="CV31" i="1" s="1"/>
  <c r="AI31" i="1"/>
  <c r="CW31" i="1" s="1"/>
  <c r="AJ31" i="1"/>
  <c r="CX31" i="1" s="1"/>
  <c r="W31" i="1" s="1"/>
  <c r="CQ31" i="1"/>
  <c r="P31" i="1" s="1"/>
  <c r="CR31" i="1"/>
  <c r="Q31" i="1" s="1"/>
  <c r="CU31" i="1"/>
  <c r="FR31" i="1"/>
  <c r="GL31" i="1"/>
  <c r="GN31" i="1"/>
  <c r="GP31" i="1"/>
  <c r="GV31" i="1"/>
  <c r="HC31" i="1" s="1"/>
  <c r="GX31" i="1" s="1"/>
  <c r="C32" i="1"/>
  <c r="D32" i="1"/>
  <c r="I32" i="1"/>
  <c r="K32" i="1"/>
  <c r="P32" i="1"/>
  <c r="AC32" i="1"/>
  <c r="AE32" i="1"/>
  <c r="AF32" i="1"/>
  <c r="CT32" i="1" s="1"/>
  <c r="S32" i="1" s="1"/>
  <c r="AG32" i="1"/>
  <c r="AH32" i="1"/>
  <c r="AI32" i="1"/>
  <c r="AJ32" i="1"/>
  <c r="CX32" i="1" s="1"/>
  <c r="W32" i="1" s="1"/>
  <c r="CQ32" i="1"/>
  <c r="CU32" i="1"/>
  <c r="T32" i="1" s="1"/>
  <c r="CV32" i="1"/>
  <c r="U32" i="1" s="1"/>
  <c r="CW32" i="1"/>
  <c r="V32" i="1" s="1"/>
  <c r="FR32" i="1"/>
  <c r="GL32" i="1"/>
  <c r="GN32" i="1"/>
  <c r="GP32" i="1"/>
  <c r="GV32" i="1"/>
  <c r="HC32" i="1"/>
  <c r="GX32" i="1" s="1"/>
  <c r="AC33" i="1"/>
  <c r="AE33" i="1"/>
  <c r="AF33" i="1"/>
  <c r="AG33" i="1"/>
  <c r="CU33" i="1" s="1"/>
  <c r="AH33" i="1"/>
  <c r="CV33" i="1" s="1"/>
  <c r="AI33" i="1"/>
  <c r="CW33" i="1" s="1"/>
  <c r="AJ33" i="1"/>
  <c r="CX33" i="1" s="1"/>
  <c r="CQ33" i="1"/>
  <c r="CT33" i="1"/>
  <c r="FR33" i="1"/>
  <c r="GL33" i="1"/>
  <c r="GN33" i="1"/>
  <c r="GP33" i="1"/>
  <c r="GV33" i="1"/>
  <c r="HC33" i="1" s="1"/>
  <c r="C34" i="1"/>
  <c r="D34" i="1"/>
  <c r="I34" i="1"/>
  <c r="CX34" i="3" s="1"/>
  <c r="K34" i="1"/>
  <c r="W34" i="1"/>
  <c r="AC34" i="1"/>
  <c r="CQ34" i="1" s="1"/>
  <c r="P34" i="1" s="1"/>
  <c r="CP34" i="1" s="1"/>
  <c r="O34" i="1" s="1"/>
  <c r="AE34" i="1"/>
  <c r="AD34" i="1" s="1"/>
  <c r="AF34" i="1"/>
  <c r="CT34" i="1" s="1"/>
  <c r="S34" i="1" s="1"/>
  <c r="AG34" i="1"/>
  <c r="AH34" i="1"/>
  <c r="AI34" i="1"/>
  <c r="AJ34" i="1"/>
  <c r="CR34" i="1"/>
  <c r="Q34" i="1" s="1"/>
  <c r="CS34" i="1"/>
  <c r="R34" i="1" s="1"/>
  <c r="CU34" i="1"/>
  <c r="T34" i="1" s="1"/>
  <c r="CV34" i="1"/>
  <c r="U34" i="1" s="1"/>
  <c r="CW34" i="1"/>
  <c r="CX34" i="1"/>
  <c r="FR34" i="1"/>
  <c r="GL34" i="1"/>
  <c r="GN34" i="1"/>
  <c r="GP34" i="1"/>
  <c r="GV34" i="1"/>
  <c r="HC34" i="1" s="1"/>
  <c r="GX34" i="1" s="1"/>
  <c r="C35" i="1"/>
  <c r="D35" i="1"/>
  <c r="I35" i="1"/>
  <c r="CU44" i="3" s="1"/>
  <c r="K35" i="1"/>
  <c r="T35" i="1"/>
  <c r="W35" i="1"/>
  <c r="AC35" i="1"/>
  <c r="AB35" i="1" s="1"/>
  <c r="AE35" i="1"/>
  <c r="AD35" i="1" s="1"/>
  <c r="AF35" i="1"/>
  <c r="CT35" i="1" s="1"/>
  <c r="S35" i="1" s="1"/>
  <c r="AG35" i="1"/>
  <c r="CU35" i="1" s="1"/>
  <c r="AH35" i="1"/>
  <c r="CV35" i="1" s="1"/>
  <c r="U35" i="1" s="1"/>
  <c r="AI35" i="1"/>
  <c r="CW35" i="1" s="1"/>
  <c r="V35" i="1" s="1"/>
  <c r="AJ35" i="1"/>
  <c r="CX35" i="1" s="1"/>
  <c r="CQ35" i="1"/>
  <c r="P35" i="1" s="1"/>
  <c r="CR35" i="1"/>
  <c r="Q35" i="1" s="1"/>
  <c r="CS35" i="1"/>
  <c r="R35" i="1" s="1"/>
  <c r="FR35" i="1"/>
  <c r="GL35" i="1"/>
  <c r="GN35" i="1"/>
  <c r="GP35" i="1"/>
  <c r="GV35" i="1"/>
  <c r="GX35" i="1"/>
  <c r="HC35" i="1"/>
  <c r="I36" i="1"/>
  <c r="P36" i="1"/>
  <c r="S36" i="1"/>
  <c r="T36" i="1"/>
  <c r="AC36" i="1"/>
  <c r="AE36" i="1"/>
  <c r="AF36" i="1"/>
  <c r="CT36" i="1" s="1"/>
  <c r="AG36" i="1"/>
  <c r="CU36" i="1" s="1"/>
  <c r="AH36" i="1"/>
  <c r="CV36" i="1" s="1"/>
  <c r="U36" i="1" s="1"/>
  <c r="AI36" i="1"/>
  <c r="AJ36" i="1"/>
  <c r="CQ36" i="1"/>
  <c r="CW36" i="1"/>
  <c r="V36" i="1" s="1"/>
  <c r="CX36" i="1"/>
  <c r="W36" i="1" s="1"/>
  <c r="FR36" i="1"/>
  <c r="GL36" i="1"/>
  <c r="GN36" i="1"/>
  <c r="GP36" i="1"/>
  <c r="GV36" i="1"/>
  <c r="HC36" i="1"/>
  <c r="GX36" i="1" s="1"/>
  <c r="C37" i="1"/>
  <c r="D37" i="1"/>
  <c r="U37" i="1"/>
  <c r="AC37" i="1"/>
  <c r="CQ37" i="1" s="1"/>
  <c r="P37" i="1" s="1"/>
  <c r="AD37" i="1"/>
  <c r="AE37" i="1"/>
  <c r="AF37" i="1"/>
  <c r="CT37" i="1" s="1"/>
  <c r="S37" i="1" s="1"/>
  <c r="AG37" i="1"/>
  <c r="CU37" i="1" s="1"/>
  <c r="T37" i="1" s="1"/>
  <c r="AH37" i="1"/>
  <c r="CV37" i="1" s="1"/>
  <c r="AI37" i="1"/>
  <c r="AJ37" i="1"/>
  <c r="CR37" i="1"/>
  <c r="Q37" i="1" s="1"/>
  <c r="CS37" i="1"/>
  <c r="R37" i="1" s="1"/>
  <c r="CW37" i="1"/>
  <c r="V37" i="1" s="1"/>
  <c r="CX37" i="1"/>
  <c r="W37" i="1" s="1"/>
  <c r="FR37" i="1"/>
  <c r="GL37" i="1"/>
  <c r="GN37" i="1"/>
  <c r="GP37" i="1"/>
  <c r="GV37" i="1"/>
  <c r="HC37" i="1" s="1"/>
  <c r="GX37" i="1" s="1"/>
  <c r="I38" i="1"/>
  <c r="V38" i="1"/>
  <c r="W38" i="1"/>
  <c r="AC38" i="1"/>
  <c r="CQ38" i="1" s="1"/>
  <c r="P38" i="1" s="1"/>
  <c r="CP38" i="1" s="1"/>
  <c r="O38" i="1" s="1"/>
  <c r="AE38" i="1"/>
  <c r="AD38" i="1" s="1"/>
  <c r="AF38" i="1"/>
  <c r="AG38" i="1"/>
  <c r="AH38" i="1"/>
  <c r="AI38" i="1"/>
  <c r="AJ38" i="1"/>
  <c r="CX38" i="1" s="1"/>
  <c r="CR38" i="1"/>
  <c r="Q38" i="1" s="1"/>
  <c r="CS38" i="1"/>
  <c r="R38" i="1" s="1"/>
  <c r="CT38" i="1"/>
  <c r="S38" i="1" s="1"/>
  <c r="CU38" i="1"/>
  <c r="T38" i="1" s="1"/>
  <c r="CV38" i="1"/>
  <c r="CW38" i="1"/>
  <c r="FR38" i="1"/>
  <c r="GL38" i="1"/>
  <c r="GN38" i="1"/>
  <c r="GP38" i="1"/>
  <c r="GV38" i="1"/>
  <c r="HC38" i="1" s="1"/>
  <c r="GX38" i="1" s="1"/>
  <c r="I39" i="1"/>
  <c r="T39" i="1" s="1"/>
  <c r="U39" i="1"/>
  <c r="AC39" i="1"/>
  <c r="CQ39" i="1" s="1"/>
  <c r="P39" i="1" s="1"/>
  <c r="AE39" i="1"/>
  <c r="AD39" i="1" s="1"/>
  <c r="AF39" i="1"/>
  <c r="AG39" i="1"/>
  <c r="AH39" i="1"/>
  <c r="AI39" i="1"/>
  <c r="CW39" i="1" s="1"/>
  <c r="V39" i="1" s="1"/>
  <c r="AJ39" i="1"/>
  <c r="CX39" i="1" s="1"/>
  <c r="CR39" i="1"/>
  <c r="CS39" i="1"/>
  <c r="CT39" i="1"/>
  <c r="CU39" i="1"/>
  <c r="CV39" i="1"/>
  <c r="FR39" i="1"/>
  <c r="GL39" i="1"/>
  <c r="GN39" i="1"/>
  <c r="GP39" i="1"/>
  <c r="GV39" i="1"/>
  <c r="HC39" i="1" s="1"/>
  <c r="I40" i="1"/>
  <c r="R40" i="1"/>
  <c r="S40" i="1"/>
  <c r="T40" i="1"/>
  <c r="U40" i="1"/>
  <c r="V40" i="1"/>
  <c r="AC40" i="1"/>
  <c r="AD40" i="1"/>
  <c r="AE40" i="1"/>
  <c r="CS40" i="1" s="1"/>
  <c r="AF40" i="1"/>
  <c r="CT40" i="1" s="1"/>
  <c r="AG40" i="1"/>
  <c r="CU40" i="1" s="1"/>
  <c r="AH40" i="1"/>
  <c r="CV40" i="1" s="1"/>
  <c r="AI40" i="1"/>
  <c r="CW40" i="1" s="1"/>
  <c r="AJ40" i="1"/>
  <c r="CQ40" i="1"/>
  <c r="P40" i="1" s="1"/>
  <c r="CX40" i="1"/>
  <c r="W40" i="1" s="1"/>
  <c r="CY40" i="1"/>
  <c r="X40" i="1" s="1"/>
  <c r="CZ40" i="1"/>
  <c r="Y40" i="1" s="1"/>
  <c r="FR40" i="1"/>
  <c r="GL40" i="1"/>
  <c r="GN40" i="1"/>
  <c r="GP40" i="1"/>
  <c r="GV40" i="1"/>
  <c r="HC40" i="1" s="1"/>
  <c r="GX40" i="1" s="1"/>
  <c r="I41" i="1"/>
  <c r="S41" i="1"/>
  <c r="AC41" i="1"/>
  <c r="AD41" i="1"/>
  <c r="AE41" i="1"/>
  <c r="AF41" i="1"/>
  <c r="AG41" i="1"/>
  <c r="AH41" i="1"/>
  <c r="AI41" i="1"/>
  <c r="CW41" i="1" s="1"/>
  <c r="V41" i="1" s="1"/>
  <c r="AJ41" i="1"/>
  <c r="CT41" i="1"/>
  <c r="CU41" i="1"/>
  <c r="T41" i="1" s="1"/>
  <c r="CV41" i="1"/>
  <c r="U41" i="1" s="1"/>
  <c r="CX41" i="1"/>
  <c r="W41" i="1" s="1"/>
  <c r="FR41" i="1"/>
  <c r="GL41" i="1"/>
  <c r="GN41" i="1"/>
  <c r="GP41" i="1"/>
  <c r="GV41" i="1"/>
  <c r="HC41" i="1"/>
  <c r="GX41" i="1" s="1"/>
  <c r="C42" i="1"/>
  <c r="D42" i="1"/>
  <c r="U42" i="1"/>
  <c r="V42" i="1"/>
  <c r="AC42" i="1"/>
  <c r="CQ42" i="1" s="1"/>
  <c r="P42" i="1" s="1"/>
  <c r="CP42" i="1" s="1"/>
  <c r="O42" i="1" s="1"/>
  <c r="AE42" i="1"/>
  <c r="AD42" i="1" s="1"/>
  <c r="AF42" i="1"/>
  <c r="AG42" i="1"/>
  <c r="CU42" i="1" s="1"/>
  <c r="T42" i="1" s="1"/>
  <c r="AH42" i="1"/>
  <c r="AI42" i="1"/>
  <c r="CW42" i="1" s="1"/>
  <c r="AJ42" i="1"/>
  <c r="CX42" i="1" s="1"/>
  <c r="W42" i="1" s="1"/>
  <c r="CR42" i="1"/>
  <c r="Q42" i="1" s="1"/>
  <c r="CS42" i="1"/>
  <c r="R42" i="1" s="1"/>
  <c r="CT42" i="1"/>
  <c r="S42" i="1" s="1"/>
  <c r="CY42" i="1" s="1"/>
  <c r="X42" i="1" s="1"/>
  <c r="CV42" i="1"/>
  <c r="FR42" i="1"/>
  <c r="GL42" i="1"/>
  <c r="GN42" i="1"/>
  <c r="GP42" i="1"/>
  <c r="GV42" i="1"/>
  <c r="GX42" i="1"/>
  <c r="HC42" i="1"/>
  <c r="I43" i="1"/>
  <c r="P43" i="1"/>
  <c r="S43" i="1"/>
  <c r="AC43" i="1"/>
  <c r="AE43" i="1"/>
  <c r="AF43" i="1"/>
  <c r="CT43" i="1" s="1"/>
  <c r="AG43" i="1"/>
  <c r="CU43" i="1" s="1"/>
  <c r="T43" i="1" s="1"/>
  <c r="AH43" i="1"/>
  <c r="CV43" i="1" s="1"/>
  <c r="U43" i="1" s="1"/>
  <c r="AI43" i="1"/>
  <c r="CW43" i="1" s="1"/>
  <c r="V43" i="1" s="1"/>
  <c r="AJ43" i="1"/>
  <c r="CX43" i="1" s="1"/>
  <c r="W43" i="1" s="1"/>
  <c r="CQ43" i="1"/>
  <c r="FR43" i="1"/>
  <c r="GL43" i="1"/>
  <c r="GN43" i="1"/>
  <c r="GP43" i="1"/>
  <c r="GV43" i="1"/>
  <c r="HC43" i="1" s="1"/>
  <c r="GX43" i="1"/>
  <c r="C44" i="1"/>
  <c r="D44" i="1"/>
  <c r="I44" i="1"/>
  <c r="T44" i="1" s="1"/>
  <c r="K44" i="1"/>
  <c r="U44" i="1"/>
  <c r="V44" i="1"/>
  <c r="W44" i="1"/>
  <c r="AB44" i="1"/>
  <c r="AC44" i="1"/>
  <c r="AE44" i="1"/>
  <c r="AD44" i="1" s="1"/>
  <c r="AF44" i="1"/>
  <c r="CT44" i="1" s="1"/>
  <c r="S44" i="1" s="1"/>
  <c r="CY44" i="1" s="1"/>
  <c r="X44" i="1" s="1"/>
  <c r="AG44" i="1"/>
  <c r="AH44" i="1"/>
  <c r="CV44" i="1" s="1"/>
  <c r="AI44" i="1"/>
  <c r="CW44" i="1" s="1"/>
  <c r="AJ44" i="1"/>
  <c r="CX44" i="1" s="1"/>
  <c r="CQ44" i="1"/>
  <c r="P44" i="1" s="1"/>
  <c r="CP44" i="1" s="1"/>
  <c r="O44" i="1" s="1"/>
  <c r="CR44" i="1"/>
  <c r="Q44" i="1" s="1"/>
  <c r="CS44" i="1"/>
  <c r="R44" i="1" s="1"/>
  <c r="CU44" i="1"/>
  <c r="FR44" i="1"/>
  <c r="GL44" i="1"/>
  <c r="GN44" i="1"/>
  <c r="GP44" i="1"/>
  <c r="GV44" i="1"/>
  <c r="HC44" i="1" s="1"/>
  <c r="GX44" i="1" s="1"/>
  <c r="C45" i="1"/>
  <c r="D45" i="1"/>
  <c r="I45" i="1"/>
  <c r="K45" i="1"/>
  <c r="AC45" i="1"/>
  <c r="CQ45" i="1" s="1"/>
  <c r="P45" i="1" s="1"/>
  <c r="AE45" i="1"/>
  <c r="AF45" i="1"/>
  <c r="CT45" i="1" s="1"/>
  <c r="S45" i="1" s="1"/>
  <c r="AG45" i="1"/>
  <c r="AH45" i="1"/>
  <c r="AI45" i="1"/>
  <c r="AJ45" i="1"/>
  <c r="CX45" i="1" s="1"/>
  <c r="CU45" i="1"/>
  <c r="CV45" i="1"/>
  <c r="CW45" i="1"/>
  <c r="FR45" i="1"/>
  <c r="GL45" i="1"/>
  <c r="GO45" i="1"/>
  <c r="GP45" i="1"/>
  <c r="GV45" i="1"/>
  <c r="HC45" i="1"/>
  <c r="GX45" i="1" s="1"/>
  <c r="C46" i="1"/>
  <c r="D46" i="1"/>
  <c r="R46" i="1"/>
  <c r="U46" i="1"/>
  <c r="AC46" i="1"/>
  <c r="CQ46" i="1" s="1"/>
  <c r="P46" i="1" s="1"/>
  <c r="AD46" i="1"/>
  <c r="AE46" i="1"/>
  <c r="CR46" i="1" s="1"/>
  <c r="Q46" i="1" s="1"/>
  <c r="AF46" i="1"/>
  <c r="CT46" i="1" s="1"/>
  <c r="S46" i="1" s="1"/>
  <c r="CY46" i="1" s="1"/>
  <c r="X46" i="1" s="1"/>
  <c r="AG46" i="1"/>
  <c r="CU46" i="1" s="1"/>
  <c r="T46" i="1" s="1"/>
  <c r="AH46" i="1"/>
  <c r="CV46" i="1" s="1"/>
  <c r="AI46" i="1"/>
  <c r="AJ46" i="1"/>
  <c r="CS46" i="1"/>
  <c r="CW46" i="1"/>
  <c r="V46" i="1" s="1"/>
  <c r="CX46" i="1"/>
  <c r="W46" i="1" s="1"/>
  <c r="FR46" i="1"/>
  <c r="GL46" i="1"/>
  <c r="GN46" i="1"/>
  <c r="GO46" i="1"/>
  <c r="GV46" i="1"/>
  <c r="HC46" i="1"/>
  <c r="GX46" i="1" s="1"/>
  <c r="P47" i="1"/>
  <c r="Q47" i="1"/>
  <c r="S47" i="1"/>
  <c r="AC47" i="1"/>
  <c r="CQ47" i="1" s="1"/>
  <c r="AE47" i="1"/>
  <c r="CR47" i="1" s="1"/>
  <c r="AF47" i="1"/>
  <c r="CT47" i="1" s="1"/>
  <c r="AG47" i="1"/>
  <c r="CU47" i="1" s="1"/>
  <c r="T47" i="1" s="1"/>
  <c r="AH47" i="1"/>
  <c r="CV47" i="1" s="1"/>
  <c r="U47" i="1" s="1"/>
  <c r="AI47" i="1"/>
  <c r="AJ47" i="1"/>
  <c r="CX47" i="1" s="1"/>
  <c r="W47" i="1" s="1"/>
  <c r="CW47" i="1"/>
  <c r="V47" i="1" s="1"/>
  <c r="FR47" i="1"/>
  <c r="GL47" i="1"/>
  <c r="GO47" i="1"/>
  <c r="GP47" i="1"/>
  <c r="GV47" i="1"/>
  <c r="HC47" i="1"/>
  <c r="GX47" i="1" s="1"/>
  <c r="V48" i="1"/>
  <c r="AB48" i="1"/>
  <c r="AC48" i="1"/>
  <c r="AD48" i="1"/>
  <c r="AE48" i="1"/>
  <c r="AF48" i="1"/>
  <c r="CT48" i="1" s="1"/>
  <c r="S48" i="1" s="1"/>
  <c r="AG48" i="1"/>
  <c r="AH48" i="1"/>
  <c r="CV48" i="1" s="1"/>
  <c r="U48" i="1" s="1"/>
  <c r="AI48" i="1"/>
  <c r="AJ48" i="1"/>
  <c r="CX48" i="1" s="1"/>
  <c r="W48" i="1" s="1"/>
  <c r="CQ48" i="1"/>
  <c r="P48" i="1" s="1"/>
  <c r="CR48" i="1"/>
  <c r="Q48" i="1" s="1"/>
  <c r="CS48" i="1"/>
  <c r="R48" i="1" s="1"/>
  <c r="CU48" i="1"/>
  <c r="T48" i="1" s="1"/>
  <c r="CW48" i="1"/>
  <c r="FR48" i="1"/>
  <c r="GL48" i="1"/>
  <c r="GO48" i="1"/>
  <c r="GP48" i="1"/>
  <c r="GV48" i="1"/>
  <c r="HC48" i="1"/>
  <c r="GX48" i="1" s="1"/>
  <c r="T49" i="1"/>
  <c r="AB49" i="1"/>
  <c r="AC49" i="1"/>
  <c r="CQ49" i="1" s="1"/>
  <c r="P49" i="1" s="1"/>
  <c r="AD49" i="1"/>
  <c r="AE49" i="1"/>
  <c r="CR49" i="1" s="1"/>
  <c r="Q49" i="1" s="1"/>
  <c r="AF49" i="1"/>
  <c r="AG49" i="1"/>
  <c r="CU49" i="1" s="1"/>
  <c r="AH49" i="1"/>
  <c r="CV49" i="1" s="1"/>
  <c r="U49" i="1" s="1"/>
  <c r="AI49" i="1"/>
  <c r="AJ49" i="1"/>
  <c r="CS49" i="1"/>
  <c r="R49" i="1" s="1"/>
  <c r="CT49" i="1"/>
  <c r="S49" i="1" s="1"/>
  <c r="CZ49" i="1" s="1"/>
  <c r="Y49" i="1" s="1"/>
  <c r="CW49" i="1"/>
  <c r="V49" i="1" s="1"/>
  <c r="CX49" i="1"/>
  <c r="W49" i="1" s="1"/>
  <c r="FR49" i="1"/>
  <c r="GL49" i="1"/>
  <c r="GO49" i="1"/>
  <c r="GP49" i="1"/>
  <c r="GV49" i="1"/>
  <c r="HC49" i="1"/>
  <c r="GX49" i="1" s="1"/>
  <c r="P50" i="1"/>
  <c r="Q50" i="1"/>
  <c r="AC50" i="1"/>
  <c r="CQ50" i="1" s="1"/>
  <c r="AE50" i="1"/>
  <c r="CR50" i="1" s="1"/>
  <c r="AF50" i="1"/>
  <c r="CT50" i="1" s="1"/>
  <c r="S50" i="1" s="1"/>
  <c r="AG50" i="1"/>
  <c r="CU50" i="1" s="1"/>
  <c r="T50" i="1" s="1"/>
  <c r="AH50" i="1"/>
  <c r="CV50" i="1" s="1"/>
  <c r="U50" i="1" s="1"/>
  <c r="AI50" i="1"/>
  <c r="AJ50" i="1"/>
  <c r="CW50" i="1"/>
  <c r="V50" i="1" s="1"/>
  <c r="CX50" i="1"/>
  <c r="W50" i="1" s="1"/>
  <c r="FR50" i="1"/>
  <c r="GL50" i="1"/>
  <c r="GO50" i="1"/>
  <c r="GP50" i="1"/>
  <c r="GV50" i="1"/>
  <c r="GX50" i="1"/>
  <c r="HC50" i="1"/>
  <c r="R51" i="1"/>
  <c r="S51" i="1"/>
  <c r="V51" i="1"/>
  <c r="AC51" i="1"/>
  <c r="AB51" i="1" s="1"/>
  <c r="AD51" i="1"/>
  <c r="AE51" i="1"/>
  <c r="AF51" i="1"/>
  <c r="AG51" i="1"/>
  <c r="AH51" i="1"/>
  <c r="CV51" i="1" s="1"/>
  <c r="U51" i="1" s="1"/>
  <c r="AI51" i="1"/>
  <c r="AJ51" i="1"/>
  <c r="CX51" i="1" s="1"/>
  <c r="W51" i="1" s="1"/>
  <c r="CQ51" i="1"/>
  <c r="P51" i="1" s="1"/>
  <c r="CR51" i="1"/>
  <c r="Q51" i="1" s="1"/>
  <c r="CS51" i="1"/>
  <c r="CT51" i="1"/>
  <c r="CU51" i="1"/>
  <c r="T51" i="1" s="1"/>
  <c r="CW51" i="1"/>
  <c r="FR51" i="1"/>
  <c r="GL51" i="1"/>
  <c r="GO51" i="1"/>
  <c r="GP51" i="1"/>
  <c r="GV51" i="1"/>
  <c r="HC51" i="1" s="1"/>
  <c r="GX51" i="1" s="1"/>
  <c r="AC52" i="1"/>
  <c r="AD52" i="1"/>
  <c r="AE52" i="1"/>
  <c r="CR52" i="1" s="1"/>
  <c r="Q52" i="1" s="1"/>
  <c r="AF52" i="1"/>
  <c r="AG52" i="1"/>
  <c r="AH52" i="1"/>
  <c r="CV52" i="1" s="1"/>
  <c r="U52" i="1" s="1"/>
  <c r="AI52" i="1"/>
  <c r="AJ52" i="1"/>
  <c r="CX52" i="1" s="1"/>
  <c r="W52" i="1" s="1"/>
  <c r="CS52" i="1"/>
  <c r="R52" i="1" s="1"/>
  <c r="CT52" i="1"/>
  <c r="S52" i="1" s="1"/>
  <c r="CU52" i="1"/>
  <c r="T52" i="1" s="1"/>
  <c r="CW52" i="1"/>
  <c r="V52" i="1" s="1"/>
  <c r="FR52" i="1"/>
  <c r="GL52" i="1"/>
  <c r="GO52" i="1"/>
  <c r="GP52" i="1"/>
  <c r="GV52" i="1"/>
  <c r="HC52" i="1" s="1"/>
  <c r="GX52" i="1" s="1"/>
  <c r="AC53" i="1"/>
  <c r="CQ53" i="1" s="1"/>
  <c r="P53" i="1" s="1"/>
  <c r="AE53" i="1"/>
  <c r="AF53" i="1"/>
  <c r="CT53" i="1" s="1"/>
  <c r="S53" i="1" s="1"/>
  <c r="AG53" i="1"/>
  <c r="AH53" i="1"/>
  <c r="AI53" i="1"/>
  <c r="AJ53" i="1"/>
  <c r="CU53" i="1"/>
  <c r="T53" i="1" s="1"/>
  <c r="CV53" i="1"/>
  <c r="U53" i="1" s="1"/>
  <c r="CW53" i="1"/>
  <c r="V53" i="1" s="1"/>
  <c r="CX53" i="1"/>
  <c r="W53" i="1" s="1"/>
  <c r="FR53" i="1"/>
  <c r="GL53" i="1"/>
  <c r="GO53" i="1"/>
  <c r="GP53" i="1"/>
  <c r="GV53" i="1"/>
  <c r="HC53" i="1"/>
  <c r="GX53" i="1" s="1"/>
  <c r="R54" i="1"/>
  <c r="AC54" i="1"/>
  <c r="CQ54" i="1" s="1"/>
  <c r="P54" i="1" s="1"/>
  <c r="CP54" i="1" s="1"/>
  <c r="O54" i="1" s="1"/>
  <c r="AD54" i="1"/>
  <c r="AE54" i="1"/>
  <c r="AF54" i="1"/>
  <c r="CT54" i="1" s="1"/>
  <c r="S54" i="1" s="1"/>
  <c r="CZ54" i="1" s="1"/>
  <c r="Y54" i="1" s="1"/>
  <c r="AG54" i="1"/>
  <c r="CU54" i="1" s="1"/>
  <c r="T54" i="1" s="1"/>
  <c r="AH54" i="1"/>
  <c r="CV54" i="1" s="1"/>
  <c r="U54" i="1" s="1"/>
  <c r="AI54" i="1"/>
  <c r="AJ54" i="1"/>
  <c r="CR54" i="1"/>
  <c r="Q54" i="1" s="1"/>
  <c r="CS54" i="1"/>
  <c r="CW54" i="1"/>
  <c r="V54" i="1" s="1"/>
  <c r="CX54" i="1"/>
  <c r="W54" i="1" s="1"/>
  <c r="FR54" i="1"/>
  <c r="GL54" i="1"/>
  <c r="GO54" i="1"/>
  <c r="GP54" i="1"/>
  <c r="GV54" i="1"/>
  <c r="HC54" i="1"/>
  <c r="GX54" i="1" s="1"/>
  <c r="R55" i="1"/>
  <c r="AC55" i="1"/>
  <c r="CQ55" i="1" s="1"/>
  <c r="P55" i="1" s="1"/>
  <c r="AD55" i="1"/>
  <c r="AE55" i="1"/>
  <c r="CR55" i="1" s="1"/>
  <c r="Q55" i="1" s="1"/>
  <c r="AF55" i="1"/>
  <c r="CT55" i="1" s="1"/>
  <c r="S55" i="1" s="1"/>
  <c r="AG55" i="1"/>
  <c r="CU55" i="1" s="1"/>
  <c r="T55" i="1" s="1"/>
  <c r="AH55" i="1"/>
  <c r="CV55" i="1" s="1"/>
  <c r="U55" i="1" s="1"/>
  <c r="AI55" i="1"/>
  <c r="AJ55" i="1"/>
  <c r="CS55" i="1"/>
  <c r="CW55" i="1"/>
  <c r="V55" i="1" s="1"/>
  <c r="CX55" i="1"/>
  <c r="W55" i="1" s="1"/>
  <c r="FR55" i="1"/>
  <c r="GL55" i="1"/>
  <c r="GO55" i="1"/>
  <c r="GP55" i="1"/>
  <c r="GV55" i="1"/>
  <c r="HC55" i="1"/>
  <c r="GX55" i="1" s="1"/>
  <c r="P56" i="1"/>
  <c r="Q56" i="1"/>
  <c r="S56" i="1"/>
  <c r="AC56" i="1"/>
  <c r="AE56" i="1"/>
  <c r="CR56" i="1" s="1"/>
  <c r="AF56" i="1"/>
  <c r="CT56" i="1" s="1"/>
  <c r="AG56" i="1"/>
  <c r="CU56" i="1" s="1"/>
  <c r="T56" i="1" s="1"/>
  <c r="AH56" i="1"/>
  <c r="CV56" i="1" s="1"/>
  <c r="U56" i="1" s="1"/>
  <c r="AI56" i="1"/>
  <c r="AJ56" i="1"/>
  <c r="CX56" i="1" s="1"/>
  <c r="W56" i="1" s="1"/>
  <c r="CQ56" i="1"/>
  <c r="CW56" i="1"/>
  <c r="V56" i="1" s="1"/>
  <c r="FR56" i="1"/>
  <c r="GL56" i="1"/>
  <c r="GO56" i="1"/>
  <c r="GP56" i="1"/>
  <c r="GV56" i="1"/>
  <c r="HC56" i="1" s="1"/>
  <c r="GX56" i="1" s="1"/>
  <c r="R57" i="1"/>
  <c r="V57" i="1"/>
  <c r="W57" i="1"/>
  <c r="AC57" i="1"/>
  <c r="CQ57" i="1" s="1"/>
  <c r="P57" i="1" s="1"/>
  <c r="AD57" i="1"/>
  <c r="AE57" i="1"/>
  <c r="AF57" i="1"/>
  <c r="AB57" i="1" s="1"/>
  <c r="AG57" i="1"/>
  <c r="CU57" i="1" s="1"/>
  <c r="T57" i="1" s="1"/>
  <c r="AH57" i="1"/>
  <c r="CV57" i="1" s="1"/>
  <c r="U57" i="1" s="1"/>
  <c r="AI57" i="1"/>
  <c r="AJ57" i="1"/>
  <c r="CX57" i="1" s="1"/>
  <c r="CR57" i="1"/>
  <c r="Q57" i="1" s="1"/>
  <c r="CS57" i="1"/>
  <c r="CW57" i="1"/>
  <c r="FR57" i="1"/>
  <c r="GL57" i="1"/>
  <c r="GO57" i="1"/>
  <c r="GP57" i="1"/>
  <c r="GV57" i="1"/>
  <c r="HC57" i="1" s="1"/>
  <c r="GX57" i="1" s="1"/>
  <c r="R58" i="1"/>
  <c r="W58" i="1"/>
  <c r="AC58" i="1"/>
  <c r="AB58" i="1" s="1"/>
  <c r="AD58" i="1"/>
  <c r="AE58" i="1"/>
  <c r="CR58" i="1" s="1"/>
  <c r="Q58" i="1" s="1"/>
  <c r="AF58" i="1"/>
  <c r="CT58" i="1" s="1"/>
  <c r="S58" i="1" s="1"/>
  <c r="AG58" i="1"/>
  <c r="CU58" i="1" s="1"/>
  <c r="T58" i="1" s="1"/>
  <c r="AH58" i="1"/>
  <c r="CV58" i="1" s="1"/>
  <c r="U58" i="1" s="1"/>
  <c r="AI58" i="1"/>
  <c r="CW58" i="1" s="1"/>
  <c r="V58" i="1" s="1"/>
  <c r="AJ58" i="1"/>
  <c r="CX58" i="1" s="1"/>
  <c r="CQ58" i="1"/>
  <c r="P58" i="1" s="1"/>
  <c r="CS58" i="1"/>
  <c r="FR58" i="1"/>
  <c r="GL58" i="1"/>
  <c r="GO58" i="1"/>
  <c r="GP58" i="1"/>
  <c r="GV58" i="1"/>
  <c r="HC58" i="1"/>
  <c r="GX58" i="1" s="1"/>
  <c r="V59" i="1"/>
  <c r="AC59" i="1"/>
  <c r="AE59" i="1"/>
  <c r="CR59" i="1" s="1"/>
  <c r="Q59" i="1" s="1"/>
  <c r="AF59" i="1"/>
  <c r="AG59" i="1"/>
  <c r="CU59" i="1" s="1"/>
  <c r="T59" i="1" s="1"/>
  <c r="AH59" i="1"/>
  <c r="CV59" i="1" s="1"/>
  <c r="U59" i="1" s="1"/>
  <c r="AI59" i="1"/>
  <c r="AJ59" i="1"/>
  <c r="CX59" i="1" s="1"/>
  <c r="W59" i="1" s="1"/>
  <c r="CQ59" i="1"/>
  <c r="P59" i="1" s="1"/>
  <c r="CS59" i="1"/>
  <c r="R59" i="1" s="1"/>
  <c r="CT59" i="1"/>
  <c r="S59" i="1" s="1"/>
  <c r="CP59" i="1" s="1"/>
  <c r="O59" i="1" s="1"/>
  <c r="CW59" i="1"/>
  <c r="FR59" i="1"/>
  <c r="GL59" i="1"/>
  <c r="GO59" i="1"/>
  <c r="GP59" i="1"/>
  <c r="GV59" i="1"/>
  <c r="HC59" i="1" s="1"/>
  <c r="GX59" i="1"/>
  <c r="B61" i="1"/>
  <c r="C61" i="1"/>
  <c r="C22" i="1" s="1"/>
  <c r="D61" i="1"/>
  <c r="F61" i="1"/>
  <c r="F22" i="1" s="1"/>
  <c r="G61" i="1"/>
  <c r="G22" i="1" s="1"/>
  <c r="BB61" i="1"/>
  <c r="BX61" i="1"/>
  <c r="BX22" i="1" s="1"/>
  <c r="CK61" i="1"/>
  <c r="CK22" i="1" s="1"/>
  <c r="CL61" i="1"/>
  <c r="CL22" i="1" s="1"/>
  <c r="CM61" i="1"/>
  <c r="B99" i="1"/>
  <c r="B18" i="1" s="1"/>
  <c r="C99" i="1"/>
  <c r="D99" i="1"/>
  <c r="D18" i="1" s="1"/>
  <c r="F99" i="1"/>
  <c r="F18" i="1" s="1"/>
  <c r="G99" i="1"/>
  <c r="G18" i="1" s="1"/>
  <c r="O78" i="6" l="1"/>
  <c r="J196" i="6"/>
  <c r="O131" i="6"/>
  <c r="O148" i="6"/>
  <c r="X104" i="7"/>
  <c r="O104" i="7"/>
  <c r="X146" i="7"/>
  <c r="O146" i="7"/>
  <c r="H222" i="7"/>
  <c r="H210" i="7"/>
  <c r="X139" i="6"/>
  <c r="O139" i="6"/>
  <c r="X110" i="6"/>
  <c r="O110" i="6"/>
  <c r="X89" i="6"/>
  <c r="O89" i="6"/>
  <c r="X58" i="6"/>
  <c r="O58" i="6"/>
  <c r="W28" i="6"/>
  <c r="O28" i="6"/>
  <c r="X121" i="6"/>
  <c r="O121" i="6"/>
  <c r="O99" i="6"/>
  <c r="X99" i="6"/>
  <c r="CY55" i="1"/>
  <c r="X55" i="1" s="1"/>
  <c r="CZ55" i="1"/>
  <c r="Y55" i="1" s="1"/>
  <c r="CZ47" i="1"/>
  <c r="Y47" i="1" s="1"/>
  <c r="CY47" i="1"/>
  <c r="X47" i="1" s="1"/>
  <c r="AD61" i="1"/>
  <c r="CP56" i="1"/>
  <c r="O56" i="1" s="1"/>
  <c r="CP50" i="1"/>
  <c r="O50" i="1" s="1"/>
  <c r="CZ43" i="1"/>
  <c r="Y43" i="1" s="1"/>
  <c r="AB38" i="1"/>
  <c r="CY35" i="1"/>
  <c r="X35" i="1" s="1"/>
  <c r="CZ35" i="1"/>
  <c r="Y35" i="1" s="1"/>
  <c r="CY34" i="1"/>
  <c r="X34" i="1" s="1"/>
  <c r="GM34" i="1" s="1"/>
  <c r="GO34" i="1" s="1"/>
  <c r="CZ34" i="1"/>
  <c r="Y34" i="1" s="1"/>
  <c r="CY30" i="1"/>
  <c r="X30" i="1" s="1"/>
  <c r="CZ30" i="1"/>
  <c r="Y30" i="1" s="1"/>
  <c r="CP24" i="1"/>
  <c r="O24" i="1" s="1"/>
  <c r="CY38" i="1"/>
  <c r="X38" i="1" s="1"/>
  <c r="CZ38" i="1"/>
  <c r="Y38" i="1" s="1"/>
  <c r="GM38" i="1" s="1"/>
  <c r="GO38" i="1" s="1"/>
  <c r="DI20" i="3"/>
  <c r="DG20" i="3"/>
  <c r="DH20" i="3"/>
  <c r="DF20" i="3"/>
  <c r="DJ20" i="3" s="1"/>
  <c r="CZ59" i="1"/>
  <c r="Y59" i="1" s="1"/>
  <c r="CY59" i="1"/>
  <c r="X59" i="1" s="1"/>
  <c r="GM59" i="1" s="1"/>
  <c r="GN59" i="1" s="1"/>
  <c r="AB34" i="1"/>
  <c r="DF76" i="3"/>
  <c r="DJ76" i="3" s="1"/>
  <c r="DG76" i="3"/>
  <c r="DH76" i="3"/>
  <c r="DI76" i="3"/>
  <c r="CR45" i="1"/>
  <c r="Q45" i="1" s="1"/>
  <c r="CP45" i="1" s="1"/>
  <c r="O45" i="1" s="1"/>
  <c r="CS45" i="1"/>
  <c r="R45" i="1" s="1"/>
  <c r="CY45" i="1" s="1"/>
  <c r="X45" i="1" s="1"/>
  <c r="AD45" i="1"/>
  <c r="BY61" i="1"/>
  <c r="CY48" i="1"/>
  <c r="X48" i="1" s="1"/>
  <c r="CZ48" i="1"/>
  <c r="Y48" i="1" s="1"/>
  <c r="CP51" i="1"/>
  <c r="O51" i="1" s="1"/>
  <c r="GM51" i="1" s="1"/>
  <c r="GN51" i="1" s="1"/>
  <c r="V33" i="1"/>
  <c r="AI61" i="1" s="1"/>
  <c r="CP55" i="1"/>
  <c r="O55" i="1" s="1"/>
  <c r="GM55" i="1" s="1"/>
  <c r="GN55" i="1" s="1"/>
  <c r="CX71" i="3"/>
  <c r="CX73" i="3"/>
  <c r="CU70" i="3"/>
  <c r="CX72" i="3"/>
  <c r="U33" i="1"/>
  <c r="CP32" i="1"/>
  <c r="O32" i="1" s="1"/>
  <c r="CW48" i="3"/>
  <c r="CX48" i="3"/>
  <c r="CZ50" i="1"/>
  <c r="Y50" i="1" s="1"/>
  <c r="CY50" i="1"/>
  <c r="X50" i="1" s="1"/>
  <c r="CY49" i="1"/>
  <c r="X49" i="1" s="1"/>
  <c r="CP49" i="1"/>
  <c r="O49" i="1" s="1"/>
  <c r="GM49" i="1" s="1"/>
  <c r="GN49" i="1" s="1"/>
  <c r="CP46" i="1"/>
  <c r="O46" i="1" s="1"/>
  <c r="V45" i="1"/>
  <c r="CP35" i="1"/>
  <c r="O35" i="1" s="1"/>
  <c r="T33" i="1"/>
  <c r="CW62" i="3"/>
  <c r="CX62" i="3"/>
  <c r="CY58" i="1"/>
  <c r="X58" i="1" s="1"/>
  <c r="CZ58" i="1"/>
  <c r="Y58" i="1" s="1"/>
  <c r="CP47" i="1"/>
  <c r="O47" i="1" s="1"/>
  <c r="CY54" i="1"/>
  <c r="X54" i="1" s="1"/>
  <c r="GM54" i="1" s="1"/>
  <c r="GN54" i="1" s="1"/>
  <c r="F74" i="1"/>
  <c r="BB22" i="1"/>
  <c r="BB99" i="1"/>
  <c r="CQ52" i="1"/>
  <c r="P52" i="1" s="1"/>
  <c r="CP52" i="1" s="1"/>
  <c r="O52" i="1" s="1"/>
  <c r="GM52" i="1" s="1"/>
  <c r="GN52" i="1" s="1"/>
  <c r="AB52" i="1"/>
  <c r="CZ37" i="1"/>
  <c r="Y37" i="1" s="1"/>
  <c r="CY37" i="1"/>
  <c r="X37" i="1" s="1"/>
  <c r="CY27" i="1"/>
  <c r="X27" i="1" s="1"/>
  <c r="CZ27" i="1"/>
  <c r="Y27" i="1" s="1"/>
  <c r="DF34" i="3"/>
  <c r="DG34" i="3"/>
  <c r="DH34" i="3"/>
  <c r="DI34" i="3"/>
  <c r="DJ34" i="3" s="1"/>
  <c r="DF18" i="3"/>
  <c r="DG18" i="3"/>
  <c r="DJ18" i="3" s="1"/>
  <c r="DH18" i="3"/>
  <c r="DI18" i="3"/>
  <c r="CY26" i="1"/>
  <c r="X26" i="1" s="1"/>
  <c r="CZ26" i="1"/>
  <c r="Y26" i="1" s="1"/>
  <c r="CP58" i="1"/>
  <c r="O58" i="1" s="1"/>
  <c r="CZ53" i="1"/>
  <c r="Y53" i="1" s="1"/>
  <c r="CY52" i="1"/>
  <c r="X52" i="1" s="1"/>
  <c r="CZ52" i="1"/>
  <c r="Y52" i="1" s="1"/>
  <c r="CP48" i="1"/>
  <c r="O48" i="1" s="1"/>
  <c r="GM48" i="1" s="1"/>
  <c r="GN48" i="1" s="1"/>
  <c r="CZ46" i="1"/>
  <c r="Y46" i="1" s="1"/>
  <c r="CP37" i="1"/>
  <c r="O37" i="1" s="1"/>
  <c r="CP27" i="1"/>
  <c r="O27" i="1" s="1"/>
  <c r="CR53" i="1"/>
  <c r="Q53" i="1" s="1"/>
  <c r="CP53" i="1" s="1"/>
  <c r="O53" i="1" s="1"/>
  <c r="CS53" i="1"/>
  <c r="R53" i="1" s="1"/>
  <c r="CY53" i="1" s="1"/>
  <c r="X53" i="1" s="1"/>
  <c r="AD53" i="1"/>
  <c r="AB53" i="1" s="1"/>
  <c r="GM42" i="1"/>
  <c r="GO42" i="1" s="1"/>
  <c r="W39" i="1"/>
  <c r="BZ61" i="1"/>
  <c r="CW71" i="3"/>
  <c r="DF42" i="3"/>
  <c r="DJ42" i="3" s="1"/>
  <c r="DG42" i="3"/>
  <c r="DH42" i="3"/>
  <c r="DI42" i="3"/>
  <c r="DG33" i="3"/>
  <c r="DH33" i="3"/>
  <c r="DI33" i="3"/>
  <c r="DJ33" i="3" s="1"/>
  <c r="DF33" i="3"/>
  <c r="DF25" i="3"/>
  <c r="DH25" i="3"/>
  <c r="DI25" i="3"/>
  <c r="DJ25" i="3" s="1"/>
  <c r="DF1" i="3"/>
  <c r="DI1" i="3"/>
  <c r="DJ1" i="3" s="1"/>
  <c r="DG1" i="3"/>
  <c r="DH1" i="3"/>
  <c r="U45" i="1"/>
  <c r="AH61" i="1" s="1"/>
  <c r="CZ42" i="1"/>
  <c r="Y42" i="1" s="1"/>
  <c r="DG58" i="3"/>
  <c r="DH58" i="3"/>
  <c r="CY51" i="1"/>
  <c r="X51" i="1" s="1"/>
  <c r="CZ51" i="1"/>
  <c r="Y51" i="1" s="1"/>
  <c r="AB45" i="1"/>
  <c r="AB42" i="1"/>
  <c r="CP36" i="1"/>
  <c r="O36" i="1" s="1"/>
  <c r="CS33" i="1"/>
  <c r="R33" i="1" s="1"/>
  <c r="CR33" i="1"/>
  <c r="Q33" i="1" s="1"/>
  <c r="CP31" i="1"/>
  <c r="O31" i="1" s="1"/>
  <c r="GM31" i="1" s="1"/>
  <c r="GO31" i="1" s="1"/>
  <c r="DG66" i="3"/>
  <c r="DH66" i="3"/>
  <c r="DF66" i="3"/>
  <c r="DJ66" i="3" s="1"/>
  <c r="DI66" i="3"/>
  <c r="DF50" i="3"/>
  <c r="DJ50" i="3" s="1"/>
  <c r="DG50" i="3"/>
  <c r="DH50" i="3"/>
  <c r="DI50" i="3"/>
  <c r="CX40" i="3"/>
  <c r="DH2" i="3"/>
  <c r="DI2" i="3"/>
  <c r="DJ2" i="3" s="1"/>
  <c r="DF2" i="3"/>
  <c r="DG2" i="3"/>
  <c r="AD50" i="1"/>
  <c r="AB50" i="1" s="1"/>
  <c r="AD33" i="1"/>
  <c r="AB33" i="1" s="1"/>
  <c r="CY31" i="1"/>
  <c r="X31" i="1" s="1"/>
  <c r="CZ31" i="1"/>
  <c r="Y31" i="1" s="1"/>
  <c r="CX69" i="3"/>
  <c r="DH59" i="3"/>
  <c r="DF59" i="3"/>
  <c r="AB54" i="1"/>
  <c r="AB46" i="1"/>
  <c r="CT29" i="1"/>
  <c r="S29" i="1" s="1"/>
  <c r="AB29" i="1"/>
  <c r="AD56" i="1"/>
  <c r="AB56" i="1" s="1"/>
  <c r="AB55" i="1"/>
  <c r="AD47" i="1"/>
  <c r="AB47" i="1" s="1"/>
  <c r="CR43" i="1"/>
  <c r="Q43" i="1" s="1"/>
  <c r="CS43" i="1"/>
  <c r="R43" i="1" s="1"/>
  <c r="CY43" i="1" s="1"/>
  <c r="X43" i="1" s="1"/>
  <c r="AB37" i="1"/>
  <c r="CR32" i="1"/>
  <c r="Q32" i="1" s="1"/>
  <c r="CS32" i="1"/>
  <c r="R32" i="1" s="1"/>
  <c r="CZ32" i="1" s="1"/>
  <c r="Y32" i="1" s="1"/>
  <c r="CY25" i="1"/>
  <c r="X25" i="1" s="1"/>
  <c r="CZ25" i="1"/>
  <c r="Y25" i="1" s="1"/>
  <c r="CW72" i="3"/>
  <c r="DG63" i="3"/>
  <c r="DI63" i="3"/>
  <c r="DI60" i="3"/>
  <c r="DJ60" i="3" s="1"/>
  <c r="DF60" i="3"/>
  <c r="DG60" i="3"/>
  <c r="DH60" i="3"/>
  <c r="CX43" i="3"/>
  <c r="AD43" i="1"/>
  <c r="AB43" i="1" s="1"/>
  <c r="S39" i="1"/>
  <c r="AB39" i="1"/>
  <c r="AD32" i="1"/>
  <c r="AB32" i="1" s="1"/>
  <c r="CY28" i="1"/>
  <c r="X28" i="1" s="1"/>
  <c r="GM28" i="1" s="1"/>
  <c r="GO28" i="1" s="1"/>
  <c r="CZ28" i="1"/>
  <c r="Y28" i="1" s="1"/>
  <c r="DF56" i="3"/>
  <c r="DJ56" i="3" s="1"/>
  <c r="DI56" i="3"/>
  <c r="DF51" i="3"/>
  <c r="DJ51" i="3" s="1"/>
  <c r="DG51" i="3"/>
  <c r="DH51" i="3"/>
  <c r="DI51" i="3"/>
  <c r="DF27" i="3"/>
  <c r="DH27" i="3"/>
  <c r="DG27" i="3"/>
  <c r="DJ27" i="3" s="1"/>
  <c r="DI27" i="3"/>
  <c r="DG25" i="3"/>
  <c r="CT57" i="1"/>
  <c r="S57" i="1" s="1"/>
  <c r="W45" i="1"/>
  <c r="AJ61" i="1" s="1"/>
  <c r="CR41" i="1"/>
  <c r="Q41" i="1" s="1"/>
  <c r="CS41" i="1"/>
  <c r="R41" i="1" s="1"/>
  <c r="CY41" i="1" s="1"/>
  <c r="X41" i="1" s="1"/>
  <c r="R39" i="1"/>
  <c r="CR36" i="1"/>
  <c r="Q36" i="1" s="1"/>
  <c r="CS36" i="1"/>
  <c r="R36" i="1" s="1"/>
  <c r="CY36" i="1" s="1"/>
  <c r="X36" i="1" s="1"/>
  <c r="AD36" i="1"/>
  <c r="AB36" i="1" s="1"/>
  <c r="CX37" i="3"/>
  <c r="CW37" i="3"/>
  <c r="CU33" i="3"/>
  <c r="CX39" i="3"/>
  <c r="CY32" i="1"/>
  <c r="X32" i="1" s="1"/>
  <c r="DI58" i="3"/>
  <c r="CW38" i="3"/>
  <c r="CW9" i="3"/>
  <c r="CX9" i="3"/>
  <c r="DG5" i="3"/>
  <c r="DI5" i="3"/>
  <c r="DJ5" i="3" s="1"/>
  <c r="DF5" i="3"/>
  <c r="DH5" i="3"/>
  <c r="DF67" i="3"/>
  <c r="DJ67" i="3" s="1"/>
  <c r="DG67" i="3"/>
  <c r="DH67" i="3"/>
  <c r="DI67" i="3"/>
  <c r="DG61" i="3"/>
  <c r="DJ61" i="3" s="1"/>
  <c r="DF61" i="3"/>
  <c r="DH61" i="3"/>
  <c r="DI59" i="3"/>
  <c r="DJ59" i="3" s="1"/>
  <c r="CX41" i="3"/>
  <c r="DF3" i="3"/>
  <c r="DI3" i="3"/>
  <c r="DG3" i="3"/>
  <c r="DJ3" i="3" s="1"/>
  <c r="DH3" i="3"/>
  <c r="T45" i="1"/>
  <c r="CS56" i="1"/>
  <c r="R56" i="1" s="1"/>
  <c r="CY56" i="1" s="1"/>
  <c r="X56" i="1" s="1"/>
  <c r="CZ44" i="1"/>
  <c r="Y44" i="1" s="1"/>
  <c r="GM44" i="1" s="1"/>
  <c r="GO44" i="1" s="1"/>
  <c r="CP43" i="1"/>
  <c r="O43" i="1" s="1"/>
  <c r="CM22" i="1"/>
  <c r="BD61" i="1"/>
  <c r="CS50" i="1"/>
  <c r="R50" i="1" s="1"/>
  <c r="Q39" i="1"/>
  <c r="CP39" i="1" s="1"/>
  <c r="O39" i="1" s="1"/>
  <c r="AD59" i="1"/>
  <c r="AB59" i="1" s="1"/>
  <c r="CS47" i="1"/>
  <c r="R47" i="1" s="1"/>
  <c r="CQ41" i="1"/>
  <c r="P41" i="1" s="1"/>
  <c r="CP41" i="1" s="1"/>
  <c r="O41" i="1" s="1"/>
  <c r="AB41" i="1"/>
  <c r="GX39" i="1"/>
  <c r="CY24" i="1"/>
  <c r="X24" i="1" s="1"/>
  <c r="CZ24" i="1"/>
  <c r="Y24" i="1" s="1"/>
  <c r="CV70" i="3"/>
  <c r="CX70" i="3"/>
  <c r="DF64" i="3"/>
  <c r="DJ64" i="3" s="1"/>
  <c r="DI64" i="3"/>
  <c r="DG59" i="3"/>
  <c r="CW35" i="3"/>
  <c r="DF13" i="3"/>
  <c r="DJ13" i="3" s="1"/>
  <c r="DI13" i="3"/>
  <c r="DG13" i="3"/>
  <c r="DH13" i="3"/>
  <c r="CX6" i="3"/>
  <c r="CW6" i="3"/>
  <c r="BC61" i="1"/>
  <c r="AO61" i="1"/>
  <c r="U38" i="1"/>
  <c r="V34" i="1"/>
  <c r="GX33" i="1"/>
  <c r="CJ61" i="1" s="1"/>
  <c r="W33" i="1"/>
  <c r="DH57" i="3"/>
  <c r="DI57" i="3"/>
  <c r="DF57" i="3"/>
  <c r="DJ57" i="3" s="1"/>
  <c r="DH32" i="3"/>
  <c r="DF32" i="3"/>
  <c r="DJ32" i="3" s="1"/>
  <c r="DF49" i="3"/>
  <c r="DG49" i="3"/>
  <c r="DJ49" i="3" s="1"/>
  <c r="DF26" i="3"/>
  <c r="DG26" i="3"/>
  <c r="DJ26" i="3" s="1"/>
  <c r="DH26" i="3"/>
  <c r="DI26" i="3"/>
  <c r="DF14" i="3"/>
  <c r="DG14" i="3"/>
  <c r="DF19" i="3"/>
  <c r="DI19" i="3"/>
  <c r="CV8" i="3"/>
  <c r="CX8" i="3"/>
  <c r="CU24" i="3"/>
  <c r="I33" i="1"/>
  <c r="AD30" i="1"/>
  <c r="AB30" i="1" s="1"/>
  <c r="CS30" i="1"/>
  <c r="R30" i="1" s="1"/>
  <c r="DI49" i="3"/>
  <c r="CX29" i="3"/>
  <c r="CX28" i="3"/>
  <c r="CX21" i="3"/>
  <c r="DI14" i="3"/>
  <c r="DJ14" i="3" s="1"/>
  <c r="CX10" i="3"/>
  <c r="CV4" i="3"/>
  <c r="CX4" i="3"/>
  <c r="T27" i="1"/>
  <c r="AG61" i="1" s="1"/>
  <c r="DI55" i="3"/>
  <c r="DH49" i="3"/>
  <c r="CX44" i="3"/>
  <c r="CV44" i="3"/>
  <c r="CX35" i="3"/>
  <c r="DH19" i="3"/>
  <c r="DF17" i="3"/>
  <c r="DH17" i="3"/>
  <c r="DI17" i="3"/>
  <c r="DI15" i="3"/>
  <c r="DJ15" i="3" s="1"/>
  <c r="DH14" i="3"/>
  <c r="AB40" i="1"/>
  <c r="DF78" i="3"/>
  <c r="DI78" i="3"/>
  <c r="DJ78" i="3" s="1"/>
  <c r="DH55" i="3"/>
  <c r="CX36" i="3"/>
  <c r="CW36" i="3"/>
  <c r="DG19" i="3"/>
  <c r="DJ19" i="3" s="1"/>
  <c r="DH15" i="3"/>
  <c r="DF7" i="3"/>
  <c r="DI7" i="3"/>
  <c r="DJ7" i="3" s="1"/>
  <c r="AD26" i="1"/>
  <c r="AB26" i="1" s="1"/>
  <c r="CR26" i="1"/>
  <c r="Q26" i="1" s="1"/>
  <c r="CX74" i="3"/>
  <c r="DF55" i="3"/>
  <c r="DJ55" i="3" s="1"/>
  <c r="DI31" i="3"/>
  <c r="DH31" i="3"/>
  <c r="DG24" i="3"/>
  <c r="DI24" i="3"/>
  <c r="DJ24" i="3" s="1"/>
  <c r="DF15" i="3"/>
  <c r="CR40" i="1"/>
  <c r="Q40" i="1" s="1"/>
  <c r="CP40" i="1" s="1"/>
  <c r="O40" i="1" s="1"/>
  <c r="GM40" i="1" s="1"/>
  <c r="GO40" i="1" s="1"/>
  <c r="CX53" i="3"/>
  <c r="CX45" i="3"/>
  <c r="CX47" i="3"/>
  <c r="CR30" i="1"/>
  <c r="Q30" i="1" s="1"/>
  <c r="CP30" i="1" s="1"/>
  <c r="O30" i="1" s="1"/>
  <c r="GM30" i="1" s="1"/>
  <c r="GO30" i="1" s="1"/>
  <c r="CS29" i="1"/>
  <c r="R29" i="1" s="1"/>
  <c r="AE61" i="1" s="1"/>
  <c r="AB28" i="1"/>
  <c r="U27" i="1"/>
  <c r="P26" i="1"/>
  <c r="CQ25" i="1"/>
  <c r="P25" i="1" s="1"/>
  <c r="CP25" i="1" s="1"/>
  <c r="O25" i="1" s="1"/>
  <c r="AB25" i="1"/>
  <c r="CX75" i="3"/>
  <c r="DH65" i="3"/>
  <c r="DI65" i="3"/>
  <c r="DG65" i="3"/>
  <c r="CV24" i="3"/>
  <c r="CW46" i="3"/>
  <c r="CX46" i="3"/>
  <c r="DG11" i="3"/>
  <c r="DH11" i="3"/>
  <c r="DI11" i="3"/>
  <c r="DJ11" i="3" s="1"/>
  <c r="CX68" i="3"/>
  <c r="CV54" i="3"/>
  <c r="CX54" i="3"/>
  <c r="CX52" i="3"/>
  <c r="CX12" i="3"/>
  <c r="CU11" i="3"/>
  <c r="CX38" i="3"/>
  <c r="CX16" i="3"/>
  <c r="G196" i="6" l="1"/>
  <c r="CJ22" i="1"/>
  <c r="BA61" i="1"/>
  <c r="GM53" i="1"/>
  <c r="GN53" i="1" s="1"/>
  <c r="AJ22" i="1"/>
  <c r="W61" i="1"/>
  <c r="AH22" i="1"/>
  <c r="U61" i="1"/>
  <c r="AE22" i="1"/>
  <c r="R61" i="1"/>
  <c r="AI22" i="1"/>
  <c r="V61" i="1"/>
  <c r="AG22" i="1"/>
  <c r="T61" i="1"/>
  <c r="DF74" i="3"/>
  <c r="DJ74" i="3" s="1"/>
  <c r="DI74" i="3"/>
  <c r="DG74" i="3"/>
  <c r="DH74" i="3"/>
  <c r="BC99" i="1"/>
  <c r="F77" i="1"/>
  <c r="BC22" i="1"/>
  <c r="CZ45" i="1"/>
  <c r="Y45" i="1" s="1"/>
  <c r="GM45" i="1" s="1"/>
  <c r="GN45" i="1" s="1"/>
  <c r="DH62" i="3"/>
  <c r="DI62" i="3"/>
  <c r="DF62" i="3"/>
  <c r="DG62" i="3"/>
  <c r="DJ62" i="3" s="1"/>
  <c r="DG48" i="3"/>
  <c r="DJ48" i="3" s="1"/>
  <c r="DH48" i="3"/>
  <c r="DI48" i="3"/>
  <c r="DF48" i="3"/>
  <c r="GM43" i="1"/>
  <c r="GO43" i="1" s="1"/>
  <c r="AD22" i="1"/>
  <c r="Q61" i="1"/>
  <c r="DH4" i="3"/>
  <c r="DI4" i="3"/>
  <c r="DJ4" i="3" s="1"/>
  <c r="DF4" i="3"/>
  <c r="DG4" i="3"/>
  <c r="CZ56" i="1"/>
  <c r="Y56" i="1" s="1"/>
  <c r="GM56" i="1" s="1"/>
  <c r="GN56" i="1" s="1"/>
  <c r="DI46" i="3"/>
  <c r="DH46" i="3"/>
  <c r="DF46" i="3"/>
  <c r="DG46" i="3"/>
  <c r="DJ46" i="3" s="1"/>
  <c r="CZ57" i="1"/>
  <c r="Y57" i="1" s="1"/>
  <c r="CY57" i="1"/>
  <c r="X57" i="1" s="1"/>
  <c r="GM58" i="1"/>
  <c r="GN58" i="1" s="1"/>
  <c r="DG47" i="3"/>
  <c r="DJ47" i="3" s="1"/>
  <c r="DI47" i="3"/>
  <c r="DF47" i="3"/>
  <c r="DH47" i="3"/>
  <c r="DF8" i="3"/>
  <c r="DI8" i="3"/>
  <c r="DJ8" i="3" s="1"/>
  <c r="DG8" i="3"/>
  <c r="DH8" i="3"/>
  <c r="DG39" i="3"/>
  <c r="DI39" i="3"/>
  <c r="DF39" i="3"/>
  <c r="DJ39" i="3" s="1"/>
  <c r="DH39" i="3"/>
  <c r="DH10" i="3"/>
  <c r="DI10" i="3"/>
  <c r="DF10" i="3"/>
  <c r="DJ10" i="3" s="1"/>
  <c r="DG10" i="3"/>
  <c r="CY29" i="1"/>
  <c r="X29" i="1" s="1"/>
  <c r="CZ29" i="1"/>
  <c r="Y29" i="1" s="1"/>
  <c r="DF12" i="3"/>
  <c r="DG12" i="3"/>
  <c r="DJ12" i="3" s="1"/>
  <c r="DI12" i="3"/>
  <c r="DH12" i="3"/>
  <c r="DI21" i="3"/>
  <c r="DF21" i="3"/>
  <c r="DJ21" i="3" s="1"/>
  <c r="DH21" i="3"/>
  <c r="DG21" i="3"/>
  <c r="CY39" i="1"/>
  <c r="X39" i="1" s="1"/>
  <c r="GM39" i="1" s="1"/>
  <c r="GO39" i="1" s="1"/>
  <c r="CZ39" i="1"/>
  <c r="Y39" i="1" s="1"/>
  <c r="GM27" i="1"/>
  <c r="GN27" i="1" s="1"/>
  <c r="DF75" i="3"/>
  <c r="DJ75" i="3" s="1"/>
  <c r="DG75" i="3"/>
  <c r="DH75" i="3"/>
  <c r="DI75" i="3"/>
  <c r="DF40" i="3"/>
  <c r="DJ40" i="3" s="1"/>
  <c r="DH40" i="3"/>
  <c r="DI40" i="3"/>
  <c r="DG40" i="3"/>
  <c r="GM32" i="1"/>
  <c r="GO32" i="1" s="1"/>
  <c r="DG29" i="3"/>
  <c r="DI29" i="3"/>
  <c r="DF29" i="3"/>
  <c r="DJ29" i="3" s="1"/>
  <c r="DH29" i="3"/>
  <c r="BB18" i="1"/>
  <c r="F112" i="1"/>
  <c r="DF68" i="3"/>
  <c r="DG68" i="3"/>
  <c r="DH68" i="3"/>
  <c r="DI68" i="3"/>
  <c r="DJ68" i="3" s="1"/>
  <c r="DF69" i="3"/>
  <c r="DJ69" i="3" s="1"/>
  <c r="DG69" i="3"/>
  <c r="DH69" i="3"/>
  <c r="DI69" i="3"/>
  <c r="BZ22" i="1"/>
  <c r="AQ61" i="1"/>
  <c r="CG61" i="1"/>
  <c r="GM35" i="1"/>
  <c r="GO35" i="1" s="1"/>
  <c r="CZ36" i="1"/>
  <c r="Y36" i="1" s="1"/>
  <c r="GM36" i="1" s="1"/>
  <c r="GO36" i="1" s="1"/>
  <c r="CP57" i="1"/>
  <c r="O57" i="1" s="1"/>
  <c r="GM57" i="1" s="1"/>
  <c r="GN57" i="1" s="1"/>
  <c r="CP26" i="1"/>
  <c r="O26" i="1" s="1"/>
  <c r="GM26" i="1" s="1"/>
  <c r="GN26" i="1" s="1"/>
  <c r="DI44" i="3"/>
  <c r="DJ44" i="3" s="1"/>
  <c r="DF44" i="3"/>
  <c r="DG44" i="3"/>
  <c r="DH44" i="3"/>
  <c r="DI9" i="3"/>
  <c r="DG9" i="3"/>
  <c r="DJ9" i="3" s="1"/>
  <c r="DH9" i="3"/>
  <c r="DF9" i="3"/>
  <c r="DF73" i="3"/>
  <c r="DJ73" i="3" s="1"/>
  <c r="DG73" i="3"/>
  <c r="DH73" i="3"/>
  <c r="DI73" i="3"/>
  <c r="DH16" i="3"/>
  <c r="DI16" i="3"/>
  <c r="DG16" i="3"/>
  <c r="DJ16" i="3" s="1"/>
  <c r="DF16" i="3"/>
  <c r="DF71" i="3"/>
  <c r="DI71" i="3"/>
  <c r="DG71" i="3"/>
  <c r="DJ71" i="3" s="1"/>
  <c r="DH71" i="3"/>
  <c r="DH38" i="3"/>
  <c r="DF38" i="3"/>
  <c r="DG38" i="3"/>
  <c r="DJ38" i="3" s="1"/>
  <c r="DI38" i="3"/>
  <c r="DG6" i="3"/>
  <c r="DJ6" i="3" s="1"/>
  <c r="DH6" i="3"/>
  <c r="DI6" i="3"/>
  <c r="DF6" i="3"/>
  <c r="DH45" i="3"/>
  <c r="DG45" i="3"/>
  <c r="DF45" i="3"/>
  <c r="DI45" i="3"/>
  <c r="DJ45" i="3" s="1"/>
  <c r="DF53" i="3"/>
  <c r="DJ53" i="3" s="1"/>
  <c r="DG53" i="3"/>
  <c r="DH53" i="3"/>
  <c r="DI53" i="3"/>
  <c r="DF52" i="3"/>
  <c r="DJ52" i="3" s="1"/>
  <c r="DG52" i="3"/>
  <c r="DH52" i="3"/>
  <c r="DI52" i="3"/>
  <c r="DH37" i="3"/>
  <c r="DG37" i="3"/>
  <c r="DJ37" i="3" s="1"/>
  <c r="DF37" i="3"/>
  <c r="DI37" i="3"/>
  <c r="DH54" i="3"/>
  <c r="DF54" i="3"/>
  <c r="DG54" i="3"/>
  <c r="DI54" i="3"/>
  <c r="DJ54" i="3" s="1"/>
  <c r="DH28" i="3"/>
  <c r="DI28" i="3"/>
  <c r="DF28" i="3"/>
  <c r="DG28" i="3"/>
  <c r="DJ28" i="3" s="1"/>
  <c r="GM37" i="1"/>
  <c r="GO37" i="1" s="1"/>
  <c r="DF35" i="3"/>
  <c r="DI35" i="3"/>
  <c r="DH35" i="3"/>
  <c r="DG35" i="3"/>
  <c r="DJ35" i="3" s="1"/>
  <c r="GM25" i="1"/>
  <c r="GN25" i="1" s="1"/>
  <c r="DI36" i="3"/>
  <c r="DF36" i="3"/>
  <c r="DH36" i="3"/>
  <c r="DG36" i="3"/>
  <c r="DJ36" i="3" s="1"/>
  <c r="DG41" i="3"/>
  <c r="DH41" i="3"/>
  <c r="DI41" i="3"/>
  <c r="DF41" i="3"/>
  <c r="DJ41" i="3" s="1"/>
  <c r="DF43" i="3"/>
  <c r="DJ43" i="3" s="1"/>
  <c r="DG43" i="3"/>
  <c r="DH43" i="3"/>
  <c r="DI43" i="3"/>
  <c r="BD22" i="1"/>
  <c r="BD99" i="1"/>
  <c r="F86" i="1"/>
  <c r="CZ41" i="1"/>
  <c r="Y41" i="1" s="1"/>
  <c r="GM41" i="1" s="1"/>
  <c r="GO41" i="1" s="1"/>
  <c r="DG72" i="3"/>
  <c r="DJ72" i="3" s="1"/>
  <c r="DH72" i="3"/>
  <c r="DI72" i="3"/>
  <c r="DF72" i="3"/>
  <c r="BY22" i="1"/>
  <c r="CI61" i="1"/>
  <c r="AP61" i="1"/>
  <c r="GM50" i="1"/>
  <c r="GN50" i="1" s="1"/>
  <c r="CP29" i="1"/>
  <c r="O29" i="1" s="1"/>
  <c r="P33" i="1"/>
  <c r="S33" i="1"/>
  <c r="AO22" i="1"/>
  <c r="F65" i="1"/>
  <c r="AO99" i="1"/>
  <c r="DH70" i="3"/>
  <c r="DF70" i="3"/>
  <c r="DG70" i="3"/>
  <c r="DI70" i="3"/>
  <c r="DJ70" i="3" s="1"/>
  <c r="GM47" i="1"/>
  <c r="GN47" i="1" s="1"/>
  <c r="GM46" i="1"/>
  <c r="GP46" i="1" s="1"/>
  <c r="CD61" i="1" s="1"/>
  <c r="GM24" i="1"/>
  <c r="R22" i="1" l="1"/>
  <c r="R99" i="1"/>
  <c r="F75" i="1"/>
  <c r="Q22" i="1"/>
  <c r="Q99" i="1"/>
  <c r="F73" i="1"/>
  <c r="F91" i="1" s="1"/>
  <c r="AZ61" i="1"/>
  <c r="CI22" i="1"/>
  <c r="BC18" i="1"/>
  <c r="F115" i="1"/>
  <c r="AX61" i="1"/>
  <c r="CG22" i="1"/>
  <c r="AQ99" i="1"/>
  <c r="AQ22" i="1"/>
  <c r="F71" i="1"/>
  <c r="T22" i="1"/>
  <c r="F82" i="1"/>
  <c r="T99" i="1"/>
  <c r="CD22" i="1"/>
  <c r="AU61" i="1"/>
  <c r="F70" i="1"/>
  <c r="G16" i="2" s="1"/>
  <c r="G18" i="2" s="1"/>
  <c r="AP99" i="1"/>
  <c r="AP22" i="1"/>
  <c r="F83" i="1"/>
  <c r="U22" i="1"/>
  <c r="U99" i="1"/>
  <c r="W22" i="1"/>
  <c r="F85" i="1"/>
  <c r="W99" i="1"/>
  <c r="AO18" i="1"/>
  <c r="F103" i="1"/>
  <c r="BA22" i="1"/>
  <c r="F81" i="1"/>
  <c r="BA99" i="1"/>
  <c r="CY33" i="1"/>
  <c r="X33" i="1" s="1"/>
  <c r="AK61" i="1" s="1"/>
  <c r="CZ33" i="1"/>
  <c r="Y33" i="1" s="1"/>
  <c r="AL61" i="1" s="1"/>
  <c r="AF61" i="1"/>
  <c r="AB61" i="1"/>
  <c r="CP33" i="1"/>
  <c r="O33" i="1" s="1"/>
  <c r="AC61" i="1"/>
  <c r="BD18" i="1"/>
  <c r="F124" i="1"/>
  <c r="V22" i="1"/>
  <c r="V99" i="1"/>
  <c r="F84" i="1"/>
  <c r="GN24" i="1"/>
  <c r="CB61" i="1" s="1"/>
  <c r="GM29" i="1"/>
  <c r="GO29" i="1" s="1"/>
  <c r="AL22" i="1" l="1"/>
  <c r="Y61" i="1"/>
  <c r="V18" i="1"/>
  <c r="F122" i="1"/>
  <c r="X61" i="1"/>
  <c r="AK22" i="1"/>
  <c r="BA18" i="1"/>
  <c r="F119" i="1"/>
  <c r="AU22" i="1"/>
  <c r="AU99" i="1"/>
  <c r="F80" i="1"/>
  <c r="H16" i="2" s="1"/>
  <c r="H18" i="2" s="1"/>
  <c r="AZ22" i="1"/>
  <c r="AZ99" i="1"/>
  <c r="F72" i="1"/>
  <c r="F120" i="1"/>
  <c r="T18" i="1"/>
  <c r="CE61" i="1"/>
  <c r="P61" i="1"/>
  <c r="AC22" i="1"/>
  <c r="CH61" i="1"/>
  <c r="CF61" i="1"/>
  <c r="GM33" i="1"/>
  <c r="CB22" i="1"/>
  <c r="AS61" i="1"/>
  <c r="AX22" i="1"/>
  <c r="AX99" i="1"/>
  <c r="F68" i="1"/>
  <c r="AP18" i="1"/>
  <c r="F108" i="1"/>
  <c r="F123" i="1"/>
  <c r="W18" i="1"/>
  <c r="F111" i="1"/>
  <c r="F129" i="1" s="1"/>
  <c r="Q18" i="1"/>
  <c r="O61" i="1"/>
  <c r="AB22" i="1"/>
  <c r="U18" i="1"/>
  <c r="F121" i="1"/>
  <c r="R18" i="1"/>
  <c r="F113" i="1"/>
  <c r="AF22" i="1"/>
  <c r="S61" i="1"/>
  <c r="AQ18" i="1"/>
  <c r="F109" i="1"/>
  <c r="P22" i="1" l="1"/>
  <c r="P99" i="1"/>
  <c r="F64" i="1"/>
  <c r="F92" i="1" s="1"/>
  <c r="CE22" i="1"/>
  <c r="AV61" i="1"/>
  <c r="F78" i="1"/>
  <c r="E16" i="2" s="1"/>
  <c r="AS99" i="1"/>
  <c r="AS22" i="1"/>
  <c r="O22" i="1"/>
  <c r="O99" i="1"/>
  <c r="F63" i="1"/>
  <c r="GO33" i="1"/>
  <c r="CC61" i="1" s="1"/>
  <c r="CA61" i="1"/>
  <c r="F118" i="1"/>
  <c r="AU18" i="1"/>
  <c r="CF22" i="1"/>
  <c r="AW61" i="1"/>
  <c r="CH22" i="1"/>
  <c r="AY61" i="1"/>
  <c r="S22" i="1"/>
  <c r="F76" i="1"/>
  <c r="S99" i="1"/>
  <c r="X22" i="1"/>
  <c r="X99" i="1"/>
  <c r="F87" i="1"/>
  <c r="F93" i="1" s="1"/>
  <c r="AX18" i="1"/>
  <c r="F106" i="1"/>
  <c r="F88" i="1"/>
  <c r="F94" i="1" s="1"/>
  <c r="Y22" i="1"/>
  <c r="Y99" i="1"/>
  <c r="AZ18" i="1"/>
  <c r="F110" i="1"/>
  <c r="CC22" i="1" l="1"/>
  <c r="AT61" i="1"/>
  <c r="S18" i="1"/>
  <c r="F114" i="1"/>
  <c r="F128" i="1" s="1"/>
  <c r="O18" i="1"/>
  <c r="F101" i="1"/>
  <c r="AY22" i="1"/>
  <c r="F69" i="1"/>
  <c r="AY99" i="1"/>
  <c r="E18" i="2"/>
  <c r="AW22" i="1"/>
  <c r="F67" i="1"/>
  <c r="AW99" i="1"/>
  <c r="AV22" i="1"/>
  <c r="F66" i="1"/>
  <c r="AV99" i="1"/>
  <c r="P18" i="1"/>
  <c r="F102" i="1"/>
  <c r="F130" i="1" s="1"/>
  <c r="X18" i="1"/>
  <c r="F125" i="1"/>
  <c r="F131" i="1" s="1"/>
  <c r="F90" i="1"/>
  <c r="F95" i="1" s="1"/>
  <c r="J16" i="2"/>
  <c r="J18" i="2" s="1"/>
  <c r="AS18" i="1"/>
  <c r="F116" i="1"/>
  <c r="F126" i="1"/>
  <c r="F132" i="1" s="1"/>
  <c r="Y18" i="1"/>
  <c r="AR61" i="1"/>
  <c r="CA22" i="1"/>
  <c r="F96" i="1" l="1"/>
  <c r="F97" i="1" s="1"/>
  <c r="AY18" i="1"/>
  <c r="F107" i="1"/>
  <c r="F104" i="1"/>
  <c r="AV18" i="1"/>
  <c r="AR22" i="1"/>
  <c r="F89" i="1"/>
  <c r="AR99" i="1"/>
  <c r="F133" i="1"/>
  <c r="F105" i="1"/>
  <c r="AW18" i="1"/>
  <c r="AT22" i="1"/>
  <c r="AT99" i="1"/>
  <c r="F79" i="1"/>
  <c r="F16" i="2" s="1"/>
  <c r="F134" i="1" l="1"/>
  <c r="F135" i="1" s="1"/>
  <c r="AR18" i="1"/>
  <c r="F127" i="1"/>
  <c r="F18" i="2"/>
  <c r="I16" i="2"/>
  <c r="I18" i="2" s="1"/>
  <c r="F117" i="1"/>
  <c r="AT18" i="1"/>
</calcChain>
</file>

<file path=xl/sharedStrings.xml><?xml version="1.0" encoding="utf-8"?>
<sst xmlns="http://schemas.openxmlformats.org/spreadsheetml/2006/main" count="3989" uniqueCount="501">
  <si>
    <t>Smeta.RU  (495) 974-1589</t>
  </si>
  <si>
    <t>_PS_</t>
  </si>
  <si>
    <t>Smeta.RU</t>
  </si>
  <si>
    <t/>
  </si>
  <si>
    <t>Строительство КЛ-0,4 кВ от ТП-6/0,4 кВ до ВРУ-0,4 кВ многоквартирного жилого дома поз.5 в микрорайоне "Акварель", г. Чебоксары, к.н. 21:01:010901:3323</t>
  </si>
  <si>
    <t>Сметные нормы списания</t>
  </si>
  <si>
    <t>Коды ценников</t>
  </si>
  <si>
    <t>Чувашская Республика (редакция 2014)</t>
  </si>
  <si>
    <t>Версия 1.7.4 ГСН (ГЭСН, ФЕР) и ТЕР (Методики НР (812/пр, 636/пр, 611/пр) и СП (774/пр и 317/пр) применять с 08.01.2023 г.)</t>
  </si>
  <si>
    <t>Поправки для НБ 2014 года от 10.05.2023 г. Строительство</t>
  </si>
  <si>
    <t>Территориальные единичные расценки Чувашской Республики, утвержденные приказом Минстроя России от  05.05.2015 № 337/пр</t>
  </si>
  <si>
    <t>ТЕР</t>
  </si>
  <si>
    <t>Новая локальная смета</t>
  </si>
  <si>
    <t>1</t>
  </si>
  <si>
    <t>01-01-004-5</t>
  </si>
  <si>
    <t>Разработка грунта в отвал экскаваторами «драглайн» или «обратная лопата» с ковшом вместимостью 0,25 м3, группа грунтов 2</t>
  </si>
  <si>
    <t>1000 м3 грунта</t>
  </si>
  <si>
    <t>ТЕР Чувашская республика (редакция 2014), 01-01-004-5, Приказ Минстроя России от 05.05.2015 № 337/пр</t>
  </si>
  <si>
    <t>Общестроительные работы</t>
  </si>
  <si>
    <t>Земляные работы</t>
  </si>
  <si>
    <t>Земляные работы, выполняемые: механизированным способом</t>
  </si>
  <si>
    <t>ФЕР-01</t>
  </si>
  <si>
    <t>Пр/812-001.1-1</t>
  </si>
  <si>
    <t>Пр/774-001.1</t>
  </si>
  <si>
    <t>2</t>
  </si>
  <si>
    <t>01-02-057-2</t>
  </si>
  <si>
    <t>Разработка грунта вручную в траншеях глубиной до 2 м без креплений с откосами, группа грунтов 2</t>
  </si>
  <si>
    <t>100 м3 грунта</t>
  </si>
  <si>
    <t>ТЕР Чувашская республика (редакция 2014), 01-02-057-2, Приказ Минстроя России от 05.05.2015 № 337/пр</t>
  </si>
  <si>
    <t>Земляные работы, выполняемые: ручным способом</t>
  </si>
  <si>
    <t>Пр/812-001.2-1</t>
  </si>
  <si>
    <t>Пр/774-001.2</t>
  </si>
  <si>
    <t>3</t>
  </si>
  <si>
    <t>01-01-033-2</t>
  </si>
  <si>
    <t>Засыпка траншей и котлованов с перемещением грунта до 5 м бульдозерами мощностью 59 кВт (80 л.с.), группа грунтов 2</t>
  </si>
  <si>
    <t>ТЕР Чувашская республика (редакция 2014), 01-01-033-2, Приказ Минстроя России от 05.05.2015 № 337/пр</t>
  </si>
  <si>
    <t>4</t>
  </si>
  <si>
    <t>01-02-061-2</t>
  </si>
  <si>
    <t>Засыпка вручную траншей, пазух котлованов и ям, группа грунтов 2</t>
  </si>
  <si>
    <t>ТЕР Чувашская республика (редакция 2014), 01-02-061-2, Приказ Минстроя России от 05.05.2015 № 337/пр</t>
  </si>
  <si>
    <t>5</t>
  </si>
  <si>
    <t>м08-02-142-1</t>
  </si>
  <si>
    <t>Устройство постели при одном кабеле в траншее</t>
  </si>
  <si>
    <t>100 М КАБЕЛЯ</t>
  </si>
  <si>
    <t>ТЕРм Чувашская республика (редакция 2014), м08-02-142-1, Приказ Минстроя России от 05.05.2015 № 337/пр</t>
  </si>
  <si>
    <t>Монтажные работы</t>
  </si>
  <si>
    <t>Электротехнические установки: на других объектах</t>
  </si>
  <si>
    <t>мФЕР-08</t>
  </si>
  <si>
    <t>Пр/812-049.3-1</t>
  </si>
  <si>
    <t>Пр/774-049.3</t>
  </si>
  <si>
    <t>6</t>
  </si>
  <si>
    <t>м08-02-142-2</t>
  </si>
  <si>
    <t>На каждый последующий кабель добавлять к расценке 08-02-142-01</t>
  </si>
  <si>
    <t>ТЕРм Чувашская республика (редакция 2014), м08-02-142-2, Приказ Минстроя России от 05.05.2015 № 337/пр</t>
  </si>
  <si>
    <t>7</t>
  </si>
  <si>
    <t>м08-02-148-4</t>
  </si>
  <si>
    <t>Кабель до 35 кВ в проложенных трубах, блоках и коробах, масса 1 м кабеля до 6 кг</t>
  </si>
  <si>
    <t>ТЕРм Чувашская республика (редакция 2014), м08-02-148-4, Приказ Минстроя России от 05.05.2015 № 337/пр</t>
  </si>
  <si>
    <t>7,1</t>
  </si>
  <si>
    <t>506-1362</t>
  </si>
  <si>
    <t>Припои оловянно-свинцовые бессурьмянистые марки ПОС30</t>
  </si>
  <si>
    <t>кг</t>
  </si>
  <si>
    <t>ТССЦ Чувашская республика (редакция 2014), 506-1362, Приказ Минстроя России от 05.05.2015 № 337/пр</t>
  </si>
  <si>
    <t>8</t>
  </si>
  <si>
    <t>м08-02-396-6</t>
  </si>
  <si>
    <t>Короб металлический по стенам и потолкам, длина 3 м</t>
  </si>
  <si>
    <t>100 м</t>
  </si>
  <si>
    <t>ТЕРм Чувашская республика (редакция 2014), м08-02-396-6, Приказ Минстроя России от 05.05.2015 № 337/пр</t>
  </si>
  <si>
    <t>8,1</t>
  </si>
  <si>
    <t>101-1924</t>
  </si>
  <si>
    <t>Электроды диаметром 4 мм Э42А</t>
  </si>
  <si>
    <t>ТССЦ Чувашская республика (редакция 2014), 101-1924, Приказ Минстроя России от 05.05.2015 № 337/пр</t>
  </si>
  <si>
    <t>9</t>
  </si>
  <si>
    <t>м08-02-147-4</t>
  </si>
  <si>
    <t>Кабель до 35 кВ по установленным конструкциям и лоткам с креплением на поворотах и в конце трассы, масса 1 м кабеля до 6 кг</t>
  </si>
  <si>
    <t>ТЕРм Чувашская республика (редакция 2014), м08-02-147-4, Приказ Минстроя России от 05.05.2015 № 337/пр</t>
  </si>
  <si>
    <t>10</t>
  </si>
  <si>
    <t>м08-02-145-4</t>
  </si>
  <si>
    <t>Кабель до 35 кВ, прокладываемый по дну канала без креплений, масса 1 м кабеля до 6 кг</t>
  </si>
  <si>
    <t>ТЕРм Чувашская республика (редакция 2014), м08-02-145-4, Приказ Минстроя России от 05.05.2015 № 337/пр</t>
  </si>
  <si>
    <t>10,1</t>
  </si>
  <si>
    <t>11</t>
  </si>
  <si>
    <t>м08-02-155-1</t>
  </si>
  <si>
    <t>Герметизация проходов при вводе кабелей во взрывоопасные помещения уплотнительной массой</t>
  </si>
  <si>
    <t>1 проход кабеля</t>
  </si>
  <si>
    <t>ТЕРм Чувашская республика (редакция 2014), м08-02-155-1, Приказ Минстроя России от 05.05.2015 № 337/пр</t>
  </si>
  <si>
    <t>11,1</t>
  </si>
  <si>
    <t>101-1705</t>
  </si>
  <si>
    <t>Пакля пропитанная</t>
  </si>
  <si>
    <t>ТССЦ Чувашская республика (редакция 2014), 101-1705, Приказ Минстроя России от 05.05.2015 № 337/пр</t>
  </si>
  <si>
    <t>11,2</t>
  </si>
  <si>
    <t>509-0900</t>
  </si>
  <si>
    <t>Уплотнительный состав</t>
  </si>
  <si>
    <t>ТССЦ Чувашская республика (редакция 2014), 509-0900, Приказ Минстроя России от 05.05.2015 № 337/пр</t>
  </si>
  <si>
    <t>11,3</t>
  </si>
  <si>
    <t>509-0988</t>
  </si>
  <si>
    <t>Шнур асбестовый общего назначения марки ШАОН диаметром 3-5 мм</t>
  </si>
  <si>
    <t>т</t>
  </si>
  <si>
    <t>ТССЦ Чувашская республика (редакция 2014), 509-0988, Приказ Минстроя России от 05.05.2015 № 337/пр</t>
  </si>
  <si>
    <t>11,4</t>
  </si>
  <si>
    <t>999-9950</t>
  </si>
  <si>
    <t>Вспомогательные ненормируемые материалы (2% от ОЗП)</t>
  </si>
  <si>
    <t>РУБ</t>
  </si>
  <si>
    <t>ТССЦ Чувашская республика (редакция 2014), 999-9950, Приказ Минстроя России от 05.05.2015 № 337/пр</t>
  </si>
  <si>
    <t>12</t>
  </si>
  <si>
    <t>м08-02-158-17</t>
  </si>
  <si>
    <t>Заделка концевая сухая для 3-4-жильного кабеля с пластмассовой и резиновой изоляцией напряжением до 1 кВ, сечение одной жилы до 240 мм2</t>
  </si>
  <si>
    <t>1  ШТ.</t>
  </si>
  <si>
    <t>ТЕРм Чувашская республика (редакция 2014), м08-02-158-17, Приказ Минстроя России от 05.05.2015 № 337/пр</t>
  </si>
  <si>
    <t>12,1</t>
  </si>
  <si>
    <t>101-0069</t>
  </si>
  <si>
    <t>Бензин авиационный Б-70</t>
  </si>
  <si>
    <t>ТССЦ Чувашская республика (редакция 2014), 101-0069, Приказ Минстроя России от 05.05.2015 № 337/пр</t>
  </si>
  <si>
    <t>13</t>
  </si>
  <si>
    <t>м08-02-144-7</t>
  </si>
  <si>
    <t>Присоединение к зажимам жил проводов или кабелей сечением до 240 мм2</t>
  </si>
  <si>
    <t>100 шт.</t>
  </si>
  <si>
    <t>ТЕРм Чувашская республика (редакция 2014), м08-02-144-7, Приказ Минстроя России от 05.05.2015 № 337/пр</t>
  </si>
  <si>
    <t>14</t>
  </si>
  <si>
    <t>26-02-022-1</t>
  </si>
  <si>
    <t>Огнезащитное покрытие кабелей составом «КЛ-1»</t>
  </si>
  <si>
    <t>100 м2</t>
  </si>
  <si>
    <t>ТЕР Чувашская республика (редакция 2014), 26-02-022-1, Приказ Минстроя России от 05.05.2015 № 337/пр</t>
  </si>
  <si>
    <t>Теплоизоляционные работы</t>
  </si>
  <si>
    <t>ФЕР-26</t>
  </si>
  <si>
    <t>Пр/812-020.0-1</t>
  </si>
  <si>
    <t>Пр/774-020.0</t>
  </si>
  <si>
    <t>15</t>
  </si>
  <si>
    <t>п01-12-027-1</t>
  </si>
  <si>
    <t>Испытание кабеля силового длиной до 500 м напряжением до 10 кВ</t>
  </si>
  <si>
    <t>1 испытание</t>
  </si>
  <si>
    <t>ТЕРп Чувашская республика (редакция 2014), п01-12-027-1, Приказ Минстроя России от 05.05.2015 № 337/пр</t>
  </si>
  <si>
    <t>Пусконаладочные работы</t>
  </si>
  <si>
    <t>Пусконаладочные работы Электротехнические устройства</t>
  </si>
  <si>
    <t>ФЕРп</t>
  </si>
  <si>
    <t>Пр/812-083.0-1</t>
  </si>
  <si>
    <t>Пр/774-083.0</t>
  </si>
  <si>
    <t>16</t>
  </si>
  <si>
    <t>ЕКС</t>
  </si>
  <si>
    <t>Кабель АВБШв 4х240 МС (N) 1кВ (м)</t>
  </si>
  <si>
    <t>м</t>
  </si>
  <si>
    <t>Материалы строительные</t>
  </si>
  <si>
    <t>Материалы, изделия и конструкции</t>
  </si>
  <si>
    <t>материалы (03)</t>
  </si>
  <si>
    <t>[1 489,79 / 1,2]</t>
  </si>
  <si>
    <t>0</t>
  </si>
  <si>
    <t>17</t>
  </si>
  <si>
    <t>СТАНДАРТ</t>
  </si>
  <si>
    <t>ПКВ(Н)тп 4 150/240нг-LS</t>
  </si>
  <si>
    <t>ШТ</t>
  </si>
  <si>
    <t>[2 909,15 / 1,2]</t>
  </si>
  <si>
    <t>18</t>
  </si>
  <si>
    <t>Уплотнитель кабельных проходов УКПт-175/50 КВТ</t>
  </si>
  <si>
    <t>[481,01 / 1,2]</t>
  </si>
  <si>
    <t>19</t>
  </si>
  <si>
    <t>Прайс</t>
  </si>
  <si>
    <t>Песок речной</t>
  </si>
  <si>
    <t>ТН</t>
  </si>
  <si>
    <t>20</t>
  </si>
  <si>
    <t>ЭТМ</t>
  </si>
  <si>
    <t>Лоток перфорированный 80х300х3000-1,0 ИЭК</t>
  </si>
  <si>
    <t>[6 341,1 / 1,2]</t>
  </si>
  <si>
    <t>21</t>
  </si>
  <si>
    <t>Крышка на лоток перфорированный 80х300х3000-1,0 ИЭК</t>
  </si>
  <si>
    <t>[537 / 1,2]</t>
  </si>
  <si>
    <t>22</t>
  </si>
  <si>
    <t>Поворот на 45 гр 80х300</t>
  </si>
  <si>
    <t>[1 370 / 1,2]</t>
  </si>
  <si>
    <t>23</t>
  </si>
  <si>
    <t>Пластина соединительная h80</t>
  </si>
  <si>
    <t>[72,95 / 1,2]</t>
  </si>
  <si>
    <t>24</t>
  </si>
  <si>
    <t>Профиль перфорированный 2,5м</t>
  </si>
  <si>
    <t>[1 877 / 1,2]</t>
  </si>
  <si>
    <t>25</t>
  </si>
  <si>
    <t>Анкер стальной забивной М8</t>
  </si>
  <si>
    <t>[18 / 1,2]</t>
  </si>
  <si>
    <t>26</t>
  </si>
  <si>
    <t>Шпилька М8, 1м</t>
  </si>
  <si>
    <t>[124 / 1,2]</t>
  </si>
  <si>
    <t>27</t>
  </si>
  <si>
    <t>Гайка со стопорным буртом М8</t>
  </si>
  <si>
    <t>[5 / 1,2]</t>
  </si>
  <si>
    <t>28</t>
  </si>
  <si>
    <t>Комплект соединительный КС М6х10</t>
  </si>
  <si>
    <t>[9 / 1,2]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</si>
  <si>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</si>
  <si>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</si>
  <si>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</si>
  <si>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</si>
  <si>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</si>
  <si>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</si>
  <si>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</si>
  <si>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</si>
  <si>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</si>
  <si>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</si>
  <si>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</si>
  <si>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</si>
  <si>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</si>
  <si>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</si>
  <si>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</si>
  <si>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</si>
  <si>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</si>
  <si>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</si>
  <si>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</si>
  <si>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</si>
  <si>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</si>
  <si>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</si>
  <si>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</si>
  <si>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</si>
  <si>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</si>
  <si>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</si>
  <si>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</si>
  <si>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</si>
  <si>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</si>
  <si>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</si>
  <si>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</si>
  <si>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</si>
  <si>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</si>
  <si>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</si>
  <si>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</si>
  <si>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</si>
  <si>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</si>
  <si>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</si>
  <si>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</si>
  <si>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</si>
  <si>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</si>
  <si>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</si>
  <si>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</si>
  <si>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</si>
  <si>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</si>
  <si>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</si>
  <si>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</si>
  <si>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</si>
  <si>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</si>
  <si>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</si>
  <si>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</si>
  <si>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</si>
  <si>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</si>
  <si>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</si>
  <si>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З</t>
  </si>
  <si>
    <t>Э</t>
  </si>
  <si>
    <t>ЭММ, в т.ч. ЗПМ</t>
  </si>
  <si>
    <t>М</t>
  </si>
  <si>
    <t>Стоимость материалов</t>
  </si>
  <si>
    <t>Н</t>
  </si>
  <si>
    <t>С</t>
  </si>
  <si>
    <t>СП</t>
  </si>
  <si>
    <t>В</t>
  </si>
  <si>
    <t>НДС</t>
  </si>
  <si>
    <t>НДС 20%</t>
  </si>
  <si>
    <t>И</t>
  </si>
  <si>
    <t>Итого с НДС</t>
  </si>
  <si>
    <t>Электротехнические устройства</t>
  </si>
  <si>
    <t>Мет. 421/пр. 04.08.20. пр. 8; п.1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</si>
  <si>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</si>
  <si>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</si>
  <si>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</si>
  <si>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</si>
  <si>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</si>
  <si>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</si>
  <si>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</si>
  <si>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ЗД. и СООРУЖЕНИЙ,  НАРУЖНЫХ ИНЖЕНЕРНЫХ СЕТЕЙ, УЛИЦ И ДОРОГ МЕСТНОГО ЗНАЧЕНИЯ, ИНЖ,СООРУЖЕНИЙ ( ГИДРОТЕХ,СООРУЖ, МОСТОВ И ПУТЕПРОВОДОВ И Т.П.)</t>
  </si>
  <si>
    <t>Капитальный ремонт прозводственных зданий</t>
  </si>
  <si>
    <t>Территория</t>
  </si>
  <si>
    <t>для территории Российской Федерации, не относящейся к районам Крайнего Севера и приравненным к ним местностям</t>
  </si>
  <si>
    <t>МПРКС</t>
  </si>
  <si>
    <t>для территории Российской Федерации, относящейся к местностям, приравненным к районам Крайнего Севера</t>
  </si>
  <si>
    <t>РКС</t>
  </si>
  <si>
    <t>для территории Российской Федерации, относящейся к районам Крайнего Севера</t>
  </si>
  <si>
    <t>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</si>
  <si>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АЭС.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</si>
  <si>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</si>
  <si>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Сложные объекты</t>
  </si>
  <si>
    <t>СТНДРТ</t>
  </si>
  <si>
    <t>При определении сметной стоимости строительства объектов капитального строительства (за исключением АЭС).</t>
  </si>
  <si>
    <t>АЭС_ПНР</t>
  </si>
  <si>
    <t>При определении сметной стоимости строительства объектов капитального строительства АЭС. Пусконаладочные работы (за исключением технологического оборудования АЭС).</t>
  </si>
  <si>
    <t>АЭС</t>
  </si>
  <si>
    <t>АЭС_ПНР_ТЕХ</t>
  </si>
  <si>
    <t>При определении сметной стоимости строительства объектов капитального строительства АЭС. Пусконаладочные работы технологического оборудования АЭС.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</si>
  <si>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</si>
  <si>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АЭС, ПНР технологического оборудования АЭС.</t>
  </si>
  <si>
    <t>ОПТ/В</t>
  </si>
  <si>
    <t>{вкл}    - Прокладка  МЕЖДУГОРОДНЫХ  ВОЛОКОННО-ОПТИЧЕСКИХ ЛИНИЙ (для ФЕРм10, отд. 6 разд.3)  {выкл} - Прокладка  ГОРОДСКИХ               ВОЛОКОННО-ОПТИЧЕСКИХ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</si>
  <si>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</si>
  <si>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междугородных в/опт. кабелей</t>
  </si>
  <si>
    <t>АВИ</t>
  </si>
  <si>
    <t>(вкл)   -  При работах по ДИСПЕТЧЕРИЗАЦИИ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</si>
  <si>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</si>
  <si>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авиатранспорта</t>
  </si>
  <si>
    <t>ЗАКР</t>
  </si>
  <si>
    <t>{вкл}   -  Обслуживающие и сопутствующие работы в тоннелях при  производстве работ ЗАКРЫТЫМ СПОСОБОМ   {выкл} - Обслуживающие и сопутствующие работы в тоннелях при  производстве работ  ОТКРЫТЫМ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</si>
  <si>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</si>
  <si>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(обслуживающие процессы)</t>
  </si>
  <si>
    <t>ГОР</t>
  </si>
  <si>
    <t>(вкл) - ФЕРм-08, выполнение работ на горнорудных объектах  (выкл) - ФЕРм-08, выполнение работ на других объектах</t>
  </si>
  <si>
    <t>Выполнение работ на горнорудных объектах</t>
  </si>
  <si>
    <t>ОБ_ПР</t>
  </si>
  <si>
    <t>Объект производственного назначения</t>
  </si>
  <si>
    <t>ОБ_НПР</t>
  </si>
  <si>
    <t>Объект непроизводственного назначения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</si>
  <si>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</si>
  <si>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</si>
  <si>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</si>
  <si>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п.25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</si>
  <si>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</si>
  <si>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</si>
  <si>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</si>
  <si>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п.16</t>
  </si>
  <si>
    <t>К_НР_СЛЖ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</si>
  <si>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объектов атомных электрических станций.  ( если {СЛЖ} = [вкл] )</t>
  </si>
  <si>
    <t>п.27 СЛОЖН</t>
  </si>
  <si>
    <t>К_НР_АЭС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</si>
  <si>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Для объектов атомных электрических станций.  ( если {АЭС} = [вкл] )</t>
  </si>
  <si>
    <t>п.27 АЭС</t>
  </si>
  <si>
    <t>Р_ОКР</t>
  </si>
  <si>
    <t>Разрядность округления результата расчета НР и СП  (с 05.04.2020 - до семи знаков после запятой)</t>
  </si>
  <si>
    <t>Лист_НРиСП</t>
  </si>
  <si>
    <t>Уровень цен</t>
  </si>
  <si>
    <t>Сборник индексов</t>
  </si>
  <si>
    <t>ТСН Чувашской республики (редакция 2014 г)</t>
  </si>
  <si>
    <t>_OBSM_</t>
  </si>
  <si>
    <t>1-1020-21</t>
  </si>
  <si>
    <t>Рабочий строитель среднего разряда 2</t>
  </si>
  <si>
    <t>чел.-ч</t>
  </si>
  <si>
    <t>Затраты труда машинистов</t>
  </si>
  <si>
    <t>чел.час</t>
  </si>
  <si>
    <t>060337</t>
  </si>
  <si>
    <t>ТСЭМ Чувашская республика (редакция 2014), 060337, Приказ Минстроя России от 05.05.2015 № 337/пр</t>
  </si>
  <si>
    <t>Экскаваторы одноковшовые дизельные на пневмоколесном ходу при работе на других видах строительства 0,25 м3</t>
  </si>
  <si>
    <t>маш.-ч</t>
  </si>
  <si>
    <t>070148</t>
  </si>
  <si>
    <t>ТСЭМ Чувашская республика (редакция 2014), 070148, Приказ Минстроя России от 05.05.2015 № 337/пр</t>
  </si>
  <si>
    <t>Бульдозеры при работе на других видах строительства 59 кВт (80 л.с.)</t>
  </si>
  <si>
    <t>1-1015-21</t>
  </si>
  <si>
    <t>Рабочий строитель среднего разряда 1,5</t>
  </si>
  <si>
    <t>1-2040-21</t>
  </si>
  <si>
    <t>Рабочий монтажник среднего разряда 4</t>
  </si>
  <si>
    <t>400001</t>
  </si>
  <si>
    <t>ТСЭМ Чувашская республика (редакция 2014), 400001, Приказ Минстроя России от 05.05.2015 № 337/пр</t>
  </si>
  <si>
    <t>Автомобили бортовые, грузоподъемность до 5 т</t>
  </si>
  <si>
    <t>021102</t>
  </si>
  <si>
    <t>ТСЭМ Чувашская республика (редакция 2014), 021102, Приказ Минстроя России от 05.05.2015 № 337/пр</t>
  </si>
  <si>
    <t>Краны на автомобильном ходу при работе на монтаже технологического оборудования 10 т</t>
  </si>
  <si>
    <t>030203</t>
  </si>
  <si>
    <t>ТСЭМ Чувашская республика (редакция 2014), 030203, Приказ Минстроя России от 05.05.2015 № 337/пр</t>
  </si>
  <si>
    <t>Домкраты гидравлические грузоподъемностью 63-100 т</t>
  </si>
  <si>
    <t>030404</t>
  </si>
  <si>
    <t>ТСЭМ Чувашская республика (редакция 2014), 030404, Приказ Минстроя России от 05.05.2015 № 337/пр</t>
  </si>
  <si>
    <t>Лебедки электрические тяговым усилием до 31,39 кН (3,2 т)</t>
  </si>
  <si>
    <t>101-2478</t>
  </si>
  <si>
    <t>ТССЦ Чувашская республика (редакция 2014), 101-2478, Приказ Минстроя России от 05.05.2015 № 337/пр</t>
  </si>
  <si>
    <t>Лента К226</t>
  </si>
  <si>
    <t>113-1786</t>
  </si>
  <si>
    <t>ТССЦ Чувашская республика (редакция 2014), 113-1786, Приказ Минстроя России от 05.05.2015 № 337/пр</t>
  </si>
  <si>
    <t>Лак битумный БТ-123</t>
  </si>
  <si>
    <t>1-2038-21</t>
  </si>
  <si>
    <t>Рабочий монтажник среднего разряда 3,8</t>
  </si>
  <si>
    <t>040502</t>
  </si>
  <si>
    <t>ТСЭМ Чувашская республика (редакция 2014), 040502, Приказ Минстроя России от 05.05.2015 № 337/пр</t>
  </si>
  <si>
    <t>Установки для сварки ручной дуговой (постоянного тока)</t>
  </si>
  <si>
    <t>101-3914</t>
  </si>
  <si>
    <t>ТССЦ Чувашская республика (редакция 2014), 101-3914, Приказ Минстроя России от 05.05.2015 № 337/пр</t>
  </si>
  <si>
    <t>Дюбели распорные полипропиленовые</t>
  </si>
  <si>
    <t>101-4621</t>
  </si>
  <si>
    <t>ТССЦ Чувашская республика (редакция 2014), 101-4621, Приказ Минстроя России от 05.05.2015 № 337/пр</t>
  </si>
  <si>
    <t>Шуруп самонарезающий (LN) 3,5/11 мм</t>
  </si>
  <si>
    <t>шт.</t>
  </si>
  <si>
    <t>101-1481</t>
  </si>
  <si>
    <t>ТССЦ Чувашская республика (редакция 2014), 101-1481, Приказ Минстроя России от 05.05.2015 № 337/пр</t>
  </si>
  <si>
    <t>Шурупы с полукруглой головкой 4x40 мм</t>
  </si>
  <si>
    <t>101-2278</t>
  </si>
  <si>
    <t>ТССЦ Чувашская республика (редакция 2014), 101-2278, Приказ Минстроя России от 05.05.2015 № 337/пр</t>
  </si>
  <si>
    <t>Пропан-бутан, смесь техническая</t>
  </si>
  <si>
    <t>509-1206</t>
  </si>
  <si>
    <t>ТССЦ Чувашская республика (редакция 2014), 509-1206, Приказ Минстроя России от 05.05.2015 № 337/пр</t>
  </si>
  <si>
    <t>Парафины нефтяные твердые марки Т-1</t>
  </si>
  <si>
    <t>1-1035-21</t>
  </si>
  <si>
    <t>Рабочий строитель среднего разряда 3,5</t>
  </si>
  <si>
    <t>340101</t>
  </si>
  <si>
    <t>ТСЭМ Чувашская республика (редакция 2014), 340101, Приказ Минстроя России от 05.05.2015 № 337/пр</t>
  </si>
  <si>
    <t>Агрегаты окрасочные высокого давления для окраски поверхностей конструкций мощностью 1 кВт</t>
  </si>
  <si>
    <t>101-0623</t>
  </si>
  <si>
    <t>ТССЦ Чувашская республика (редакция 2014), 101-0623, Приказ Минстроя России от 05.05.2015 № 337/пр</t>
  </si>
  <si>
    <t>Мыло твердое хозяйственное 72%</t>
  </si>
  <si>
    <t>101-1757</t>
  </si>
  <si>
    <t>ТССЦ Чувашская республика (редакция 2014), 101-1757, Приказ Минстроя России от 05.05.2015 № 337/пр</t>
  </si>
  <si>
    <t>Ветошь</t>
  </si>
  <si>
    <t>113-0521</t>
  </si>
  <si>
    <t>ТССЦ Чувашская республика (редакция 2014), 113-0521, Приказ Минстроя России от 05.05.2015 № 337/пр</t>
  </si>
  <si>
    <t>Краска огнезащитная «КЛ-1»</t>
  </si>
  <si>
    <t>411-0001</t>
  </si>
  <si>
    <t>ТССЦ Чувашская республика (редакция 2014), 411-0001, Приказ Минстроя России от 05.05.2015 № 337/пр</t>
  </si>
  <si>
    <t>Вода</t>
  </si>
  <si>
    <t>м3</t>
  </si>
  <si>
    <t>0-3304-21</t>
  </si>
  <si>
    <t>Электромонтажник-наладчик 4 разряда</t>
  </si>
  <si>
    <t>2-0023-21</t>
  </si>
  <si>
    <t>Инженер по наладке и испытаниям III категории</t>
  </si>
  <si>
    <t>"СОГЛАСОВАНО"</t>
  </si>
  <si>
    <t>"УТВЕРЖДАЮ"</t>
  </si>
  <si>
    <t>"_____"________________ 2024 г.</t>
  </si>
  <si>
    <t xml:space="preserve">  на</t>
  </si>
  <si>
    <t>(наименование работ и затрат, наименование объекта)</t>
  </si>
  <si>
    <t>№ п/п</t>
  </si>
  <si>
    <t>Шифр расценки и коды ресурсов</t>
  </si>
  <si>
    <t>Наименование работ и затрат</t>
  </si>
  <si>
    <t>Единица изме-рения</t>
  </si>
  <si>
    <t>Кол-во единиц</t>
  </si>
  <si>
    <t>Цена на ед. изм. руб.</t>
  </si>
  <si>
    <t>попра-вочные коэффиц.</t>
  </si>
  <si>
    <t>Стоимость в ценах 2001г.</t>
  </si>
  <si>
    <t>Пункт коэффиц. пересчета</t>
  </si>
  <si>
    <t>Коэфф. пересчета</t>
  </si>
  <si>
    <t>Стоимость в текущих ценах</t>
  </si>
  <si>
    <t>ЗТР всего чел.-час</t>
  </si>
  <si>
    <t>Составлена в ценах ТСН Чувашской республики (редакция 2014 г) март 2024 года</t>
  </si>
  <si>
    <t>Зарплата</t>
  </si>
  <si>
    <t>в т.ч. зарплата машинистов</t>
  </si>
  <si>
    <t>НР от ФОТ</t>
  </si>
  <si>
    <t>%</t>
  </si>
  <si>
    <t>СП от ФОТ</t>
  </si>
  <si>
    <t>Затраты труда</t>
  </si>
  <si>
    <t>чел-ч</t>
  </si>
  <si>
    <t>Материальные ресурсы</t>
  </si>
  <si>
    <r>
      <t>Кабель АВБШв 4х240 МС (N) 1кВ (м)</t>
    </r>
    <r>
      <rPr>
        <i/>
        <sz val="10"/>
        <rFont val="Arial"/>
        <family val="2"/>
        <charset val="204"/>
      </rPr>
      <t xml:space="preserve">
1 241,49 = [1 489,79 / 1,2]</t>
    </r>
  </si>
  <si>
    <r>
      <t>ПКВ(Н)тп 4 150/240нг-LS</t>
    </r>
    <r>
      <rPr>
        <i/>
        <sz val="10"/>
        <rFont val="Arial"/>
        <family val="2"/>
        <charset val="204"/>
      </rPr>
      <t xml:space="preserve">
2 424,29 = [2 909,15 / 1,2]</t>
    </r>
  </si>
  <si>
    <r>
      <t>Уплотнитель кабельных проходов УКПт-175/50 КВТ</t>
    </r>
    <r>
      <rPr>
        <i/>
        <sz val="10"/>
        <rFont val="Arial"/>
        <family val="2"/>
        <charset val="204"/>
      </rPr>
      <t xml:space="preserve">
400,84 = [481,01 / 1,2]</t>
    </r>
  </si>
  <si>
    <r>
      <t>Лоток перфорированный 80х300х3000-1,0 ИЭК</t>
    </r>
    <r>
      <rPr>
        <i/>
        <sz val="10"/>
        <rFont val="Arial"/>
        <family val="2"/>
        <charset val="204"/>
      </rPr>
      <t xml:space="preserve">
5 284,25 = [6 341,1 / 1,2]</t>
    </r>
  </si>
  <si>
    <r>
      <t>Крышка на лоток перфорированный 80х300х3000-1,0 ИЭК</t>
    </r>
    <r>
      <rPr>
        <i/>
        <sz val="10"/>
        <rFont val="Arial"/>
        <family val="2"/>
        <charset val="204"/>
      </rPr>
      <t xml:space="preserve">
447,50 = [537 / 1,2]</t>
    </r>
  </si>
  <si>
    <r>
      <t>Поворот на 45 гр 80х300</t>
    </r>
    <r>
      <rPr>
        <i/>
        <sz val="10"/>
        <rFont val="Arial"/>
        <family val="2"/>
        <charset val="204"/>
      </rPr>
      <t xml:space="preserve">
1 141,67 = [1 370 / 1,2]</t>
    </r>
  </si>
  <si>
    <r>
      <t>Пластина соединительная h80</t>
    </r>
    <r>
      <rPr>
        <i/>
        <sz val="10"/>
        <rFont val="Arial"/>
        <family val="2"/>
        <charset val="204"/>
      </rPr>
      <t xml:space="preserve">
60,79 = [72,95 / 1,2]</t>
    </r>
  </si>
  <si>
    <r>
      <t>Профиль перфорированный 2,5м</t>
    </r>
    <r>
      <rPr>
        <i/>
        <sz val="10"/>
        <rFont val="Arial"/>
        <family val="2"/>
        <charset val="204"/>
      </rPr>
      <t xml:space="preserve">
1 564,17 = [1 877 / 1,2]</t>
    </r>
  </si>
  <si>
    <r>
      <t>Анкер стальной забивной М8</t>
    </r>
    <r>
      <rPr>
        <i/>
        <sz val="10"/>
        <rFont val="Arial"/>
        <family val="2"/>
        <charset val="204"/>
      </rPr>
      <t xml:space="preserve">
15,00 = [18 / 1,2]</t>
    </r>
  </si>
  <si>
    <r>
      <t>Шпилька М8, 1м</t>
    </r>
    <r>
      <rPr>
        <i/>
        <sz val="10"/>
        <rFont val="Arial"/>
        <family val="2"/>
        <charset val="204"/>
      </rPr>
      <t xml:space="preserve">
103,33 = [124 / 1,2]</t>
    </r>
  </si>
  <si>
    <r>
      <t>Гайка со стопорным буртом М8</t>
    </r>
    <r>
      <rPr>
        <i/>
        <sz val="10"/>
        <rFont val="Arial"/>
        <family val="2"/>
        <charset val="204"/>
      </rPr>
      <t xml:space="preserve">
4,17 = [5 / 1,2]</t>
    </r>
  </si>
  <si>
    <r>
      <t>Комплект соединительный КС М6х10</t>
    </r>
    <r>
      <rPr>
        <i/>
        <sz val="10"/>
        <rFont val="Arial"/>
        <family val="2"/>
        <charset val="204"/>
      </rPr>
      <t xml:space="preserve">
7,50 = [9 / 1,2]</t>
    </r>
  </si>
  <si>
    <t>Составил</t>
  </si>
  <si>
    <t>Должность</t>
  </si>
  <si>
    <t>Подпись</t>
  </si>
  <si>
    <t>Ф.И.О.</t>
  </si>
  <si>
    <t>М.П.</t>
  </si>
  <si>
    <t>Проверил</t>
  </si>
  <si>
    <t>Унифицированная форма № КС-2</t>
  </si>
  <si>
    <t>Утверждена постановлением Госкомстата России</t>
  </si>
  <si>
    <t>от 11.11.99. № 100</t>
  </si>
  <si>
    <t>Код</t>
  </si>
  <si>
    <t>Форма по ОКУД</t>
  </si>
  <si>
    <t>0322005</t>
  </si>
  <si>
    <t>Инвестор</t>
  </si>
  <si>
    <t>по ОКПО</t>
  </si>
  <si>
    <t>организация, адрес, телефон, факс</t>
  </si>
  <si>
    <t>Заказчик</t>
  </si>
  <si>
    <t>Подрядчик</t>
  </si>
  <si>
    <t>Стройка</t>
  </si>
  <si>
    <t>наименование, адрес</t>
  </si>
  <si>
    <t>Объект</t>
  </si>
  <si>
    <t>наименование</t>
  </si>
  <si>
    <t xml:space="preserve">Вид деятельности по ОКДП  </t>
  </si>
  <si>
    <t xml:space="preserve">Договор подряда  </t>
  </si>
  <si>
    <t>номер</t>
  </si>
  <si>
    <t>дата</t>
  </si>
  <si>
    <t xml:space="preserve">Вид операции  </t>
  </si>
  <si>
    <t>Номер документа</t>
  </si>
  <si>
    <t>Дата составления</t>
  </si>
  <si>
    <t>Отчетный период</t>
  </si>
  <si>
    <t>с</t>
  </si>
  <si>
    <t>по</t>
  </si>
  <si>
    <t>AKT</t>
  </si>
  <si>
    <t>О ПРИЕМКЕ ВЫПОЛНЕННЫХ РАБОТ</t>
  </si>
  <si>
    <t>Номер</t>
  </si>
  <si>
    <t>поз. по сме-те</t>
  </si>
  <si>
    <t>Составлен(а) в ценах 2001 г. с учетом коэффициентов пересчета к базисной стоимости СМР в текущий уровень цен базисно-индексным методом за ТСН Чувашской республики (редакция 2014 г) март 2024 года</t>
  </si>
  <si>
    <t>Сдал</t>
  </si>
  <si>
    <t>Принял</t>
  </si>
  <si>
    <t>Унифицированная форма № КС-3</t>
  </si>
  <si>
    <t>Коды</t>
  </si>
  <si>
    <t xml:space="preserve">Инвестор </t>
  </si>
  <si>
    <t xml:space="preserve">Заказчик (генподрядчик) </t>
  </si>
  <si>
    <t xml:space="preserve">Подрядчик (субподрядчик) </t>
  </si>
  <si>
    <t xml:space="preserve">Стройка </t>
  </si>
  <si>
    <t>Вид деятельности  по ОКДП</t>
  </si>
  <si>
    <t xml:space="preserve">Договор подряда (контракт) </t>
  </si>
  <si>
    <t>Вид операции</t>
  </si>
  <si>
    <t>СПРАВКА</t>
  </si>
  <si>
    <t>СТОИМОСТИ ВЫПОЛНЕННЫХ РАБОТ И ЗАТРАТ</t>
  </si>
  <si>
    <t>Наименование пусковых комплексов, объектов, видов работ, оборудования, затрат</t>
  </si>
  <si>
    <t>Стоимость выполненных работ и затрат</t>
  </si>
  <si>
    <t>с начала проведения работ</t>
  </si>
  <si>
    <t>с начала года по отчетный период включительно</t>
  </si>
  <si>
    <t>в том числе за отчетный месяц</t>
  </si>
  <si>
    <t>Всего работ и затрат, включаемых в стоимость</t>
  </si>
  <si>
    <t>В том числе:</t>
  </si>
  <si>
    <t>Итого</t>
  </si>
  <si>
    <t xml:space="preserve">Сумма НДС </t>
  </si>
  <si>
    <t xml:space="preserve">Всего с учетом НДС </t>
  </si>
  <si>
    <t>должность</t>
  </si>
  <si>
    <t>подпись</t>
  </si>
  <si>
    <t>расшифровка подпись</t>
  </si>
  <si>
    <t>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</si>
</sst>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\-\ #,##0.00"/>
  </numFmts>
  <fonts count="23" x14ac:knownFonts="1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u/>
      <sz val="12"/>
      <name val="Arial"/>
      <family val="2"/>
      <charset val="204"/>
    </font>
    <font>
      <b/>
      <sz val="14"/>
      <name val="Arial"/>
      <family val="2"/>
      <charset val="204"/>
    </font>
    <font>
      <i/>
      <sz val="11"/>
      <name val="Arial"/>
      <family val="2"/>
      <charset val="204"/>
    </font>
    <font>
      <b/>
      <sz val="9"/>
      <name val="Arial"/>
      <family val="2"/>
      <charset val="204"/>
    </font>
    <font>
      <i/>
      <sz val="11"/>
      <color rgb="FF008000"/>
      <name val="Arial"/>
      <family val="2"/>
      <charset val="204"/>
    </font>
    <font>
      <i/>
      <sz val="10"/>
      <name val="Arial"/>
      <family val="2"/>
      <charset val="204"/>
    </font>
    <font>
      <i/>
      <sz val="11"/>
      <color rgb="FFFF0000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7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vertical="top" wrapText="1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164" fontId="0" fillId="0" borderId="0" xfId="0" applyNumberFormat="1"/>
    <xf numFmtId="164" fontId="18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64" fontId="10" fillId="0" borderId="2" xfId="0" applyNumberFormat="1" applyFont="1" applyBorder="1" applyAlignment="1">
      <alignment horizontal="right"/>
    </xf>
    <xf numFmtId="164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right" wrapText="1"/>
    </xf>
    <xf numFmtId="164" fontId="19" fillId="0" borderId="0" xfId="0" applyNumberFormat="1" applyFont="1" applyAlignment="1">
      <alignment horizontal="right"/>
    </xf>
    <xf numFmtId="0" fontId="19" fillId="0" borderId="0" xfId="0" quotePrefix="1" applyFont="1" applyAlignment="1">
      <alignment horizontal="right" wrapText="1"/>
    </xf>
    <xf numFmtId="0" fontId="19" fillId="0" borderId="2" xfId="0" applyFont="1" applyBorder="1" applyAlignment="1">
      <alignment horizontal="left" wrapText="1"/>
    </xf>
    <xf numFmtId="0" fontId="19" fillId="0" borderId="2" xfId="0" applyFont="1" applyBorder="1" applyAlignment="1">
      <alignment horizontal="right" wrapText="1"/>
    </xf>
    <xf numFmtId="0" fontId="19" fillId="0" borderId="2" xfId="0" applyFont="1" applyBorder="1" applyAlignment="1">
      <alignment horizontal="right"/>
    </xf>
    <xf numFmtId="164" fontId="19" fillId="0" borderId="2" xfId="0" applyNumberFormat="1" applyFont="1" applyBorder="1" applyAlignment="1">
      <alignment horizontal="right"/>
    </xf>
    <xf numFmtId="0" fontId="19" fillId="0" borderId="2" xfId="0" quotePrefix="1" applyFont="1" applyBorder="1" applyAlignment="1">
      <alignment horizontal="right" wrapText="1"/>
    </xf>
    <xf numFmtId="0" fontId="14" fillId="0" borderId="0" xfId="0" applyFont="1"/>
    <xf numFmtId="0" fontId="14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1" fillId="0" borderId="2" xfId="0" applyFont="1" applyFill="1" applyBorder="1"/>
    <xf numFmtId="0" fontId="11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/>
    </xf>
    <xf numFmtId="0" fontId="22" fillId="0" borderId="0" xfId="0" applyFont="1" applyFill="1"/>
    <xf numFmtId="0" fontId="22" fillId="0" borderId="2" xfId="0" applyFont="1" applyFill="1" applyBorder="1"/>
    <xf numFmtId="0" fontId="10" fillId="0" borderId="0" xfId="0" applyFont="1" applyFill="1"/>
    <xf numFmtId="0" fontId="22" fillId="0" borderId="0" xfId="0" applyFont="1" applyFill="1" applyAlignment="1">
      <alignment horizontal="right"/>
    </xf>
    <xf numFmtId="0" fontId="11" fillId="0" borderId="8" xfId="0" applyFont="1" applyBorder="1" applyAlignment="1">
      <alignment horizontal="center"/>
    </xf>
    <xf numFmtId="0" fontId="11" fillId="0" borderId="2" xfId="0" applyFont="1" applyBorder="1"/>
    <xf numFmtId="14" fontId="11" fillId="0" borderId="0" xfId="0" applyNumberFormat="1" applyFont="1"/>
    <xf numFmtId="0" fontId="11" fillId="0" borderId="6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left"/>
    </xf>
    <xf numFmtId="0" fontId="15" fillId="0" borderId="0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1" fillId="0" borderId="5" xfId="0" applyFont="1" applyBorder="1" applyAlignment="1">
      <alignment horizontal="right"/>
    </xf>
    <xf numFmtId="0" fontId="11" fillId="0" borderId="3" xfId="0" applyFont="1" applyBorder="1" applyAlignment="1">
      <alignment horizontal="center"/>
    </xf>
    <xf numFmtId="14" fontId="11" fillId="0" borderId="3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left" wrapText="1"/>
    </xf>
    <xf numFmtId="0" fontId="11" fillId="0" borderId="0" xfId="0" applyFont="1" applyBorder="1" applyAlignment="1">
      <alignment horizontal="right"/>
    </xf>
    <xf numFmtId="0" fontId="9" fillId="0" borderId="0" xfId="0" applyFont="1" applyAlignment="1">
      <alignment horizontal="right" vertical="center"/>
    </xf>
    <xf numFmtId="0" fontId="0" fillId="0" borderId="0" xfId="0" applyAlignment="1"/>
    <xf numFmtId="0" fontId="11" fillId="0" borderId="3" xfId="0" quotePrefix="1" applyFont="1" applyBorder="1" applyAlignment="1">
      <alignment horizontal="center"/>
    </xf>
    <xf numFmtId="0" fontId="11" fillId="0" borderId="0" xfId="0" applyFont="1" applyAlignment="1">
      <alignment horizontal="right" vertical="center" shrinkToFit="1"/>
    </xf>
    <xf numFmtId="0" fontId="11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top" shrinkToFit="1"/>
    </xf>
    <xf numFmtId="0" fontId="11" fillId="0" borderId="4" xfId="0" applyFont="1" applyBorder="1" applyAlignment="1">
      <alignment horizontal="justify" vertical="top" wrapText="1" shrinkToFit="1"/>
    </xf>
    <xf numFmtId="0" fontId="11" fillId="0" borderId="11" xfId="0" applyFont="1" applyBorder="1" applyAlignment="1">
      <alignment horizontal="justify" vertical="top" wrapText="1" shrinkToFit="1"/>
    </xf>
    <xf numFmtId="0" fontId="11" fillId="0" borderId="1" xfId="0" applyFont="1" applyBorder="1" applyAlignment="1">
      <alignment horizontal="justify" vertical="top" wrapText="1" shrinkToFit="1"/>
    </xf>
    <xf numFmtId="0" fontId="11" fillId="0" borderId="8" xfId="0" applyFont="1" applyBorder="1" applyAlignment="1">
      <alignment horizontal="justify" vertical="top" wrapText="1" shrinkToFit="1"/>
    </xf>
    <xf numFmtId="0" fontId="11" fillId="0" borderId="1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164" fontId="11" fillId="0" borderId="6" xfId="0" applyNumberFormat="1" applyFont="1" applyBorder="1" applyAlignment="1">
      <alignment horizontal="right"/>
    </xf>
    <xf numFmtId="0" fontId="11" fillId="0" borderId="0" xfId="0" applyFont="1" applyAlignment="1">
      <alignment horizontal="right" vertical="center" wrapText="1" shrinkToFit="1"/>
    </xf>
    <xf numFmtId="164" fontId="11" fillId="0" borderId="6" xfId="0" applyNumberFormat="1" applyFont="1" applyBorder="1" applyAlignment="1">
      <alignment horizontal="right" vertical="center" wrapText="1" shrinkToFit="1"/>
    </xf>
    <xf numFmtId="0" fontId="11" fillId="0" borderId="8" xfId="0" applyFont="1" applyBorder="1" applyAlignment="1">
      <alignment horizontal="right" vertical="center" wrapText="1" shrinkToFit="1"/>
    </xf>
    <xf numFmtId="164" fontId="11" fillId="0" borderId="4" xfId="0" applyNumberFormat="1" applyFont="1" applyBorder="1" applyAlignment="1">
      <alignment horizontal="right" vertical="center" wrapText="1" shrinkToFit="1"/>
    </xf>
    <xf numFmtId="0" fontId="11" fillId="0" borderId="12" xfId="0" applyFont="1" applyBorder="1" applyAlignment="1">
      <alignment horizontal="right" vertical="center" wrapText="1" shrinkToFit="1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6" xfId="0" applyFont="1" applyBorder="1" applyAlignment="1">
      <alignment horizontal="justify" vertical="top" wrapText="1" shrinkToFit="1"/>
    </xf>
    <xf numFmtId="164" fontId="11" fillId="0" borderId="6" xfId="0" applyNumberFormat="1" applyFont="1" applyBorder="1" applyAlignment="1">
      <alignment horizontal="right" wrapText="1" shrinkToFit="1"/>
    </xf>
    <xf numFmtId="0" fontId="11" fillId="0" borderId="1" xfId="0" applyFont="1" applyBorder="1" applyAlignment="1">
      <alignment horizontal="right" wrapText="1" shrinkToFit="1"/>
    </xf>
    <xf numFmtId="0" fontId="11" fillId="0" borderId="8" xfId="0" applyFont="1" applyBorder="1" applyAlignment="1">
      <alignment horizontal="right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4" fontId="11" fillId="0" borderId="4" xfId="0" applyNumberFormat="1" applyFont="1" applyBorder="1" applyAlignment="1">
      <alignment horizontal="center"/>
    </xf>
    <xf numFmtId="14" fontId="11" fillId="0" borderId="12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14" fontId="11" fillId="0" borderId="6" xfId="0" applyNumberFormat="1" applyFont="1" applyBorder="1" applyAlignment="1">
      <alignment horizontal="center"/>
    </xf>
    <xf numFmtId="14" fontId="11" fillId="0" borderId="8" xfId="0" applyNumberFormat="1" applyFont="1" applyBorder="1" applyAlignment="1">
      <alignment horizontal="center"/>
    </xf>
    <xf numFmtId="0" fontId="11" fillId="0" borderId="4" xfId="0" applyFont="1" applyBorder="1"/>
    <xf numFmtId="0" fontId="11" fillId="0" borderId="12" xfId="0" applyFont="1" applyBorder="1"/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6" xfId="0" applyFont="1" applyBorder="1" applyAlignment="1">
      <alignment horizontal="right"/>
    </xf>
    <xf numFmtId="0" fontId="11" fillId="0" borderId="2" xfId="0" applyFont="1" applyBorder="1"/>
    <xf numFmtId="0" fontId="11" fillId="0" borderId="1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5"/>
  <sheetViews>
    <sheetView tabSelected="1" topLeftCell="A187" zoomScale="131" zoomScaleNormal="131" workbookViewId="0">
      <selection activeCell="J205" sqref="J205:K205"/>
    </sheetView>
  </sheetViews>
  <sheetFormatPr defaultRowHeight="12.75" x14ac:dyDescent="0.2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8.7109375" customWidth="1"/>
    <col min="15" max="29" width="0" hidden="1" customWidth="1"/>
    <col min="30" max="30" width="147.7109375" hidden="1" customWidth="1"/>
    <col min="31" max="31" width="160.7109375" hidden="1" customWidth="1"/>
    <col min="32" max="32" width="0" hidden="1" customWidth="1"/>
    <col min="33" max="33" width="91.7109375" hidden="1" customWidth="1"/>
    <col min="34" max="38" width="0" hidden="1" customWidth="1"/>
    <col min="39" max="39" width="76.7109375" hidden="1" customWidth="1"/>
  </cols>
  <sheetData>
    <row r="1" spans="1:30" x14ac:dyDescent="0.2">
      <c r="A1" s="9" t="str">
        <f>Source!B1</f>
        <v>Smeta.RU  (495) 974-1589</v>
      </c>
    </row>
    <row r="2" spans="1:30" ht="14.25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30" ht="16.5" x14ac:dyDescent="0.25">
      <c r="A3" s="12"/>
      <c r="B3" s="95" t="s">
        <v>400</v>
      </c>
      <c r="C3" s="95"/>
      <c r="D3" s="95"/>
      <c r="E3" s="95"/>
      <c r="F3" s="11"/>
      <c r="G3" s="11"/>
      <c r="H3" s="95" t="s">
        <v>401</v>
      </c>
      <c r="I3" s="95"/>
      <c r="J3" s="95"/>
      <c r="K3" s="95"/>
      <c r="L3" s="95"/>
    </row>
    <row r="4" spans="1:30" ht="14.25" x14ac:dyDescent="0.2">
      <c r="A4" s="11"/>
      <c r="B4" s="96"/>
      <c r="C4" s="96"/>
      <c r="D4" s="96"/>
      <c r="E4" s="96"/>
      <c r="F4" s="11"/>
      <c r="G4" s="11"/>
      <c r="H4" s="96"/>
      <c r="I4" s="96"/>
      <c r="J4" s="96"/>
      <c r="K4" s="96"/>
      <c r="L4" s="96"/>
    </row>
    <row r="5" spans="1:30" ht="14.25" x14ac:dyDescent="0.2">
      <c r="A5" s="13"/>
      <c r="B5" s="13"/>
      <c r="C5" s="14"/>
      <c r="D5" s="14"/>
      <c r="E5" s="14"/>
      <c r="F5" s="11"/>
      <c r="G5" s="11"/>
      <c r="H5" s="15"/>
      <c r="I5" s="14"/>
      <c r="J5" s="14"/>
      <c r="K5" s="14"/>
      <c r="L5" s="15"/>
    </row>
    <row r="6" spans="1:30" ht="14.25" x14ac:dyDescent="0.2">
      <c r="A6" s="15"/>
      <c r="B6" s="96" t="str">
        <f>CONCATENATE("______________________ ", IF(Source!AL12&lt;&gt;"", Source!AL12, ""))</f>
        <v xml:space="preserve">______________________ </v>
      </c>
      <c r="C6" s="96"/>
      <c r="D6" s="96"/>
      <c r="E6" s="96"/>
      <c r="F6" s="11"/>
      <c r="G6" s="11"/>
      <c r="H6" s="96" t="str">
        <f>CONCATENATE("______________________ ", IF(Source!AH12&lt;&gt;"", Source!AH12, ""))</f>
        <v xml:space="preserve">______________________ </v>
      </c>
      <c r="I6" s="96"/>
      <c r="J6" s="96"/>
      <c r="K6" s="96"/>
      <c r="L6" s="96"/>
    </row>
    <row r="7" spans="1:30" ht="14.25" x14ac:dyDescent="0.2">
      <c r="A7" s="16"/>
      <c r="B7" s="94" t="s">
        <v>402</v>
      </c>
      <c r="C7" s="94"/>
      <c r="D7" s="94"/>
      <c r="E7" s="94"/>
      <c r="F7" s="11"/>
      <c r="G7" s="11"/>
      <c r="H7" s="94" t="s">
        <v>402</v>
      </c>
      <c r="I7" s="94"/>
      <c r="J7" s="94"/>
      <c r="K7" s="94"/>
      <c r="L7" s="94"/>
    </row>
    <row r="10" spans="1:30" ht="14.25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30" ht="15.75" x14ac:dyDescent="0.25">
      <c r="A11" s="11"/>
      <c r="B11" s="91" t="str">
        <f>Source!G20</f>
        <v>Новая локальная смета</v>
      </c>
      <c r="C11" s="91"/>
      <c r="D11" s="91"/>
      <c r="E11" s="91"/>
      <c r="F11" s="91"/>
      <c r="G11" s="91"/>
      <c r="H11" s="91"/>
      <c r="I11" s="91"/>
      <c r="J11" s="91"/>
      <c r="K11" s="91"/>
      <c r="L11" s="16"/>
      <c r="AD11" s="21" t="str">
        <f>Source!G20</f>
        <v>Новая локальная смета</v>
      </c>
    </row>
    <row r="12" spans="1:30" ht="14.25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30" ht="36" x14ac:dyDescent="0.25">
      <c r="A13" s="11" t="s">
        <v>403</v>
      </c>
      <c r="B13" s="92" t="str">
        <f>Source!G12</f>
        <v>Строительство КЛ-0,4 кВ от ТП-6/0,4 кВ до ВРУ-0,4 кВ многоквартирного жилого дома поз.5 в микрорайоне "Акварель", г. Чебоксары, к.н. 21:01:010901:3323</v>
      </c>
      <c r="C13" s="92"/>
      <c r="D13" s="92"/>
      <c r="E13" s="92"/>
      <c r="F13" s="92"/>
      <c r="G13" s="92"/>
      <c r="H13" s="92"/>
      <c r="I13" s="92"/>
      <c r="J13" s="92"/>
      <c r="K13" s="92"/>
      <c r="L13" s="17"/>
      <c r="AD13" s="22" t="str">
        <f>Source!G12</f>
        <v>Строительство КЛ-0,4 кВ от ТП-6/0,4 кВ до ВРУ-0,4 кВ многоквартирного жилого дома поз.5 в микрорайоне "Акварель", г. Чебоксары, к.н. 21:01:010901:3323</v>
      </c>
    </row>
    <row r="14" spans="1:30" ht="14.25" x14ac:dyDescent="0.2">
      <c r="A14" s="11"/>
      <c r="B14" s="93" t="s">
        <v>404</v>
      </c>
      <c r="C14" s="93"/>
      <c r="D14" s="93"/>
      <c r="E14" s="93"/>
      <c r="F14" s="93"/>
      <c r="G14" s="93"/>
      <c r="H14" s="93"/>
      <c r="I14" s="93"/>
      <c r="J14" s="93"/>
      <c r="K14" s="93"/>
      <c r="L14" s="16"/>
    </row>
    <row r="15" spans="1:30" ht="14.25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30" ht="14.25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26" ht="14.25" x14ac:dyDescent="0.2">
      <c r="A17" s="90" t="s">
        <v>417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26" ht="57" x14ac:dyDescent="0.2">
      <c r="A18" s="18" t="s">
        <v>405</v>
      </c>
      <c r="B18" s="18" t="s">
        <v>406</v>
      </c>
      <c r="C18" s="18" t="s">
        <v>407</v>
      </c>
      <c r="D18" s="18" t="s">
        <v>408</v>
      </c>
      <c r="E18" s="18" t="s">
        <v>409</v>
      </c>
      <c r="F18" s="18" t="s">
        <v>410</v>
      </c>
      <c r="G18" s="18" t="s">
        <v>411</v>
      </c>
      <c r="H18" s="18" t="s">
        <v>412</v>
      </c>
      <c r="I18" s="18" t="s">
        <v>413</v>
      </c>
      <c r="J18" s="18" t="s">
        <v>414</v>
      </c>
      <c r="K18" s="18" t="s">
        <v>415</v>
      </c>
      <c r="L18" s="18" t="s">
        <v>416</v>
      </c>
    </row>
    <row r="19" spans="1:26" ht="14.25" x14ac:dyDescent="0.2">
      <c r="A19" s="19">
        <v>1</v>
      </c>
      <c r="B19" s="19">
        <v>2</v>
      </c>
      <c r="C19" s="19">
        <v>3</v>
      </c>
      <c r="D19" s="19">
        <v>4</v>
      </c>
      <c r="E19" s="19">
        <v>5</v>
      </c>
      <c r="F19" s="19">
        <v>6</v>
      </c>
      <c r="G19" s="19">
        <v>7</v>
      </c>
      <c r="H19" s="19">
        <v>8</v>
      </c>
      <c r="I19" s="19">
        <v>9</v>
      </c>
      <c r="J19" s="19">
        <v>10</v>
      </c>
      <c r="K19" s="19">
        <v>11</v>
      </c>
      <c r="L19" s="20">
        <v>12</v>
      </c>
    </row>
    <row r="20" spans="1:26" ht="71.25" x14ac:dyDescent="0.2">
      <c r="A20" s="24" t="str">
        <f>Source!E24</f>
        <v>1</v>
      </c>
      <c r="B20" s="25" t="str">
        <f>Source!F24</f>
        <v>01-01-004-5</v>
      </c>
      <c r="C20" s="23" t="str">
        <f>Source!G24</f>
        <v>Разработка грунта в отвал экскаваторами «драглайн» или «обратная лопата» с ковшом вместимостью 0,25 м3, группа грунтов 2</v>
      </c>
      <c r="D20" s="26" t="str">
        <f>Source!H24</f>
        <v>1000 м3 грунта</v>
      </c>
      <c r="E20" s="10">
        <f>Source!I24</f>
        <v>2.2679999999999999E-2</v>
      </c>
      <c r="F20" s="28">
        <f>IF(Source!AK24&lt;&gt; 0, Source!AK24,Source!AL24 + Source!AM24 + Source!AO24)</f>
        <v>4441.99</v>
      </c>
      <c r="G20" s="27"/>
      <c r="H20" s="28"/>
      <c r="I20" s="27" t="str">
        <f>Source!BO24</f>
        <v>01-01-004-5</v>
      </c>
      <c r="J20" s="27"/>
      <c r="K20" s="28"/>
      <c r="L20" s="29"/>
      <c r="S20">
        <f>ROUND((Source!FX24/100)*((ROUND(Source!AF24*Source!I24, 2)+ROUND(Source!AE24*Source!I24, 2))), 2)</f>
        <v>14.65</v>
      </c>
      <c r="T20">
        <f>Source!X24</f>
        <v>484.49</v>
      </c>
      <c r="U20">
        <f>ROUND((Source!FY24/100)*((ROUND(Source!AF24*Source!I24, 2)+ROUND(Source!AE24*Source!I24, 2))), 2)</f>
        <v>7.32</v>
      </c>
      <c r="V20">
        <f>Source!Y24</f>
        <v>242.25</v>
      </c>
    </row>
    <row r="21" spans="1:26" x14ac:dyDescent="0.2">
      <c r="C21" s="30" t="str">
        <f>"Объем: "&amp;Source!I24&amp;"=22,68/"&amp;"1000"</f>
        <v>Объем: 0,02268=22,68/1000</v>
      </c>
    </row>
    <row r="22" spans="1:26" ht="14.25" x14ac:dyDescent="0.2">
      <c r="A22" s="24"/>
      <c r="B22" s="25"/>
      <c r="C22" s="23" t="s">
        <v>418</v>
      </c>
      <c r="D22" s="26"/>
      <c r="E22" s="10"/>
      <c r="F22" s="28">
        <f>Source!AO24</f>
        <v>93.75</v>
      </c>
      <c r="G22" s="27" t="str">
        <f>Source!DG24</f>
        <v/>
      </c>
      <c r="H22" s="28">
        <f>ROUND(Source!AF24*Source!I24, 2)</f>
        <v>2.13</v>
      </c>
      <c r="I22" s="27"/>
      <c r="J22" s="27">
        <f>IF(Source!BA24&lt;&gt; 0, Source!BA24, 1)</f>
        <v>33.08</v>
      </c>
      <c r="K22" s="28">
        <f>Source!S24</f>
        <v>70.34</v>
      </c>
      <c r="L22" s="29"/>
      <c r="R22">
        <f>H22</f>
        <v>2.13</v>
      </c>
    </row>
    <row r="23" spans="1:26" ht="14.25" x14ac:dyDescent="0.2">
      <c r="A23" s="24"/>
      <c r="B23" s="25"/>
      <c r="C23" s="23" t="s">
        <v>207</v>
      </c>
      <c r="D23" s="26"/>
      <c r="E23" s="10"/>
      <c r="F23" s="28">
        <f>Source!AM24</f>
        <v>4348.24</v>
      </c>
      <c r="G23" s="27" t="str">
        <f>Source!DE24</f>
        <v/>
      </c>
      <c r="H23" s="28">
        <f>ROUND((((Source!ET24)-(Source!EU24))+Source!AE24)*Source!I24, 2)</f>
        <v>98.62</v>
      </c>
      <c r="I23" s="27"/>
      <c r="J23" s="27">
        <f>IF(Source!BB24&lt;&gt; 0, Source!BB24, 1)</f>
        <v>18.05</v>
      </c>
      <c r="K23" s="28">
        <f>Source!Q24</f>
        <v>1780.06</v>
      </c>
      <c r="L23" s="29"/>
    </row>
    <row r="24" spans="1:26" ht="14.25" x14ac:dyDescent="0.2">
      <c r="A24" s="24"/>
      <c r="B24" s="25"/>
      <c r="C24" s="23" t="s">
        <v>419</v>
      </c>
      <c r="D24" s="26"/>
      <c r="E24" s="10"/>
      <c r="F24" s="28">
        <f>Source!AN24</f>
        <v>608.16999999999996</v>
      </c>
      <c r="G24" s="27" t="str">
        <f>Source!DF24</f>
        <v/>
      </c>
      <c r="H24" s="28">
        <f>ROUND(Source!AE24*Source!I24, 2)</f>
        <v>13.79</v>
      </c>
      <c r="I24" s="27"/>
      <c r="J24" s="27">
        <f>IF(Source!BS24&lt;&gt; 0, Source!BS24, 1)</f>
        <v>33.08</v>
      </c>
      <c r="K24" s="28">
        <f>Source!R24</f>
        <v>456.28</v>
      </c>
      <c r="L24" s="29"/>
      <c r="R24">
        <f>H24</f>
        <v>13.79</v>
      </c>
    </row>
    <row r="25" spans="1:26" ht="14.25" x14ac:dyDescent="0.2">
      <c r="A25" s="24"/>
      <c r="B25" s="25"/>
      <c r="C25" s="23" t="s">
        <v>420</v>
      </c>
      <c r="D25" s="26" t="s">
        <v>421</v>
      </c>
      <c r="E25" s="10">
        <f>Source!BZ24</f>
        <v>92</v>
      </c>
      <c r="F25" s="31"/>
      <c r="G25" s="27"/>
      <c r="H25" s="28">
        <f>SUM(S20:S27)</f>
        <v>14.65</v>
      </c>
      <c r="I25" s="32"/>
      <c r="J25" s="23">
        <f>Source!AT24</f>
        <v>92</v>
      </c>
      <c r="K25" s="28">
        <f>SUM(T20:T27)</f>
        <v>484.49</v>
      </c>
      <c r="L25" s="29"/>
    </row>
    <row r="26" spans="1:26" ht="14.25" x14ac:dyDescent="0.2">
      <c r="A26" s="24"/>
      <c r="B26" s="25"/>
      <c r="C26" s="23" t="s">
        <v>422</v>
      </c>
      <c r="D26" s="26" t="s">
        <v>421</v>
      </c>
      <c r="E26" s="10">
        <f>Source!CA24</f>
        <v>46</v>
      </c>
      <c r="F26" s="31"/>
      <c r="G26" s="27"/>
      <c r="H26" s="28">
        <f>SUM(U20:U27)</f>
        <v>7.32</v>
      </c>
      <c r="I26" s="32"/>
      <c r="J26" s="23">
        <f>Source!AU24</f>
        <v>46</v>
      </c>
      <c r="K26" s="28">
        <f>SUM(V20:V27)</f>
        <v>242.25</v>
      </c>
      <c r="L26" s="29"/>
    </row>
    <row r="27" spans="1:26" ht="14.25" x14ac:dyDescent="0.2">
      <c r="A27" s="36"/>
      <c r="B27" s="37"/>
      <c r="C27" s="38" t="s">
        <v>423</v>
      </c>
      <c r="D27" s="39" t="s">
        <v>424</v>
      </c>
      <c r="E27" s="40">
        <f>Source!AQ24</f>
        <v>12.86</v>
      </c>
      <c r="F27" s="41"/>
      <c r="G27" s="42" t="str">
        <f>Source!DI24</f>
        <v/>
      </c>
      <c r="H27" s="41"/>
      <c r="I27" s="42"/>
      <c r="J27" s="42"/>
      <c r="K27" s="41"/>
      <c r="L27" s="43">
        <f>Source!U24</f>
        <v>0.29166479999999995</v>
      </c>
    </row>
    <row r="28" spans="1:26" ht="15" x14ac:dyDescent="0.25">
      <c r="G28" s="87">
        <f>ROUND(Source!AC24*Source!I24, 2)+ROUND(Source!AF24*Source!I24, 2)+ROUND((((Source!ET24)-(Source!EU24))+Source!AE24)*Source!I24, 2)+SUM(H25:H26)</f>
        <v>122.72</v>
      </c>
      <c r="H28" s="87"/>
      <c r="J28" s="87">
        <f>Source!O24+SUM(K25:K26)</f>
        <v>2577.1400000000003</v>
      </c>
      <c r="K28" s="87"/>
      <c r="L28" s="35">
        <f>Source!U24</f>
        <v>0.29166479999999995</v>
      </c>
      <c r="O28" s="34">
        <f>G28</f>
        <v>122.72</v>
      </c>
      <c r="P28" s="34">
        <f>J28</f>
        <v>2577.1400000000003</v>
      </c>
      <c r="Q28" s="34">
        <f>L28</f>
        <v>0.29166479999999995</v>
      </c>
      <c r="W28">
        <f>IF(Source!BI24&lt;=1,G28, 0)</f>
        <v>122.72</v>
      </c>
      <c r="X28">
        <f>IF(Source!BI24=2,G28, 0)</f>
        <v>0</v>
      </c>
      <c r="Y28">
        <f>IF(Source!BI24=3,G28, 0)</f>
        <v>0</v>
      </c>
      <c r="Z28">
        <f>IF(Source!BI24=4,G28, 0)</f>
        <v>0</v>
      </c>
    </row>
    <row r="29" spans="1:26" ht="42.75" x14ac:dyDescent="0.2">
      <c r="A29" s="24" t="str">
        <f>Source!E25</f>
        <v>2</v>
      </c>
      <c r="B29" s="25" t="str">
        <f>Source!F25</f>
        <v>01-02-057-2</v>
      </c>
      <c r="C29" s="23" t="str">
        <f>Source!G25</f>
        <v>Разработка грунта вручную в траншеях глубиной до 2 м без креплений с откосами, группа грунтов 2</v>
      </c>
      <c r="D29" s="26" t="str">
        <f>Source!H25</f>
        <v>100 м3 грунта</v>
      </c>
      <c r="E29" s="10">
        <f>Source!I25</f>
        <v>9.7199999999999995E-2</v>
      </c>
      <c r="F29" s="28">
        <f>IF(Source!AK25&lt;&gt; 0, Source!AK25,Source!AL25 + Source!AM25 + Source!AO25)</f>
        <v>1122.6600000000001</v>
      </c>
      <c r="G29" s="27"/>
      <c r="H29" s="28"/>
      <c r="I29" s="27" t="str">
        <f>Source!BO25</f>
        <v>01-02-057-2</v>
      </c>
      <c r="J29" s="27"/>
      <c r="K29" s="28"/>
      <c r="L29" s="29"/>
      <c r="S29">
        <f>ROUND((Source!FX25/100)*((ROUND(Source!AF25*Source!I25, 2)+ROUND(Source!AE25*Source!I25, 2))), 2)</f>
        <v>97.12</v>
      </c>
      <c r="T29">
        <f>Source!X25</f>
        <v>3212.7</v>
      </c>
      <c r="U29">
        <f>ROUND((Source!FY25/100)*((ROUND(Source!AF25*Source!I25, 2)+ROUND(Source!AE25*Source!I25, 2))), 2)</f>
        <v>43.65</v>
      </c>
      <c r="V29">
        <f>Source!Y25</f>
        <v>1443.91</v>
      </c>
    </row>
    <row r="30" spans="1:26" x14ac:dyDescent="0.2">
      <c r="C30" s="30" t="str">
        <f>"Объем: "&amp;Source!I25&amp;"=9,72/"&amp;"100"</f>
        <v>Объем: 0,0972=9,72/100</v>
      </c>
    </row>
    <row r="31" spans="1:26" ht="14.25" x14ac:dyDescent="0.2">
      <c r="A31" s="24"/>
      <c r="B31" s="25"/>
      <c r="C31" s="23" t="s">
        <v>418</v>
      </c>
      <c r="D31" s="26"/>
      <c r="E31" s="10"/>
      <c r="F31" s="28">
        <f>Source!AO25</f>
        <v>1122.6600000000001</v>
      </c>
      <c r="G31" s="27" t="str">
        <f>Source!DG25</f>
        <v/>
      </c>
      <c r="H31" s="28">
        <f>ROUND(Source!AF25*Source!I25, 2)</f>
        <v>109.12</v>
      </c>
      <c r="I31" s="27"/>
      <c r="J31" s="27">
        <f>IF(Source!BA25&lt;&gt; 0, Source!BA25, 1)</f>
        <v>33.08</v>
      </c>
      <c r="K31" s="28">
        <f>Source!S25</f>
        <v>3609.77</v>
      </c>
      <c r="L31" s="29"/>
      <c r="R31">
        <f>H31</f>
        <v>109.12</v>
      </c>
    </row>
    <row r="32" spans="1:26" ht="14.25" x14ac:dyDescent="0.2">
      <c r="A32" s="24"/>
      <c r="B32" s="25"/>
      <c r="C32" s="23" t="s">
        <v>420</v>
      </c>
      <c r="D32" s="26" t="s">
        <v>421</v>
      </c>
      <c r="E32" s="10">
        <f>Source!BZ25</f>
        <v>89</v>
      </c>
      <c r="F32" s="31"/>
      <c r="G32" s="27"/>
      <c r="H32" s="28">
        <f>SUM(S29:S34)</f>
        <v>97.12</v>
      </c>
      <c r="I32" s="32"/>
      <c r="J32" s="23">
        <f>Source!AT25</f>
        <v>89</v>
      </c>
      <c r="K32" s="28">
        <f>SUM(T29:T34)</f>
        <v>3212.7</v>
      </c>
      <c r="L32" s="29"/>
    </row>
    <row r="33" spans="1:26" ht="14.25" x14ac:dyDescent="0.2">
      <c r="A33" s="24"/>
      <c r="B33" s="25"/>
      <c r="C33" s="23" t="s">
        <v>422</v>
      </c>
      <c r="D33" s="26" t="s">
        <v>421</v>
      </c>
      <c r="E33" s="10">
        <f>Source!CA25</f>
        <v>40</v>
      </c>
      <c r="F33" s="31"/>
      <c r="G33" s="27"/>
      <c r="H33" s="28">
        <f>SUM(U29:U34)</f>
        <v>43.65</v>
      </c>
      <c r="I33" s="32"/>
      <c r="J33" s="23">
        <f>Source!AU25</f>
        <v>40</v>
      </c>
      <c r="K33" s="28">
        <f>SUM(V29:V34)</f>
        <v>1443.91</v>
      </c>
      <c r="L33" s="29"/>
    </row>
    <row r="34" spans="1:26" ht="14.25" x14ac:dyDescent="0.2">
      <c r="A34" s="36"/>
      <c r="B34" s="37"/>
      <c r="C34" s="38" t="s">
        <v>423</v>
      </c>
      <c r="D34" s="39" t="s">
        <v>424</v>
      </c>
      <c r="E34" s="40">
        <f>Source!AQ25</f>
        <v>154</v>
      </c>
      <c r="F34" s="41"/>
      <c r="G34" s="42" t="str">
        <f>Source!DI25</f>
        <v/>
      </c>
      <c r="H34" s="41"/>
      <c r="I34" s="42"/>
      <c r="J34" s="42"/>
      <c r="K34" s="41"/>
      <c r="L34" s="43">
        <f>Source!U25</f>
        <v>14.9688</v>
      </c>
    </row>
    <row r="35" spans="1:26" ht="15" x14ac:dyDescent="0.25">
      <c r="G35" s="87">
        <f>ROUND(Source!AC25*Source!I25, 2)+ROUND(Source!AF25*Source!I25, 2)+ROUND((((Source!ET25)-(Source!EU25))+Source!AE25)*Source!I25, 2)+SUM(H32:H33)</f>
        <v>249.89000000000001</v>
      </c>
      <c r="H35" s="87"/>
      <c r="J35" s="87">
        <f>Source!O25+SUM(K32:K33)</f>
        <v>8266.3799999999992</v>
      </c>
      <c r="K35" s="87"/>
      <c r="L35" s="35">
        <f>Source!U25</f>
        <v>14.9688</v>
      </c>
      <c r="O35" s="34">
        <f>G35</f>
        <v>249.89000000000001</v>
      </c>
      <c r="P35" s="34">
        <f>J35</f>
        <v>8266.3799999999992</v>
      </c>
      <c r="Q35" s="34">
        <f>L35</f>
        <v>14.9688</v>
      </c>
      <c r="W35">
        <f>IF(Source!BI25&lt;=1,G35, 0)</f>
        <v>249.89000000000001</v>
      </c>
      <c r="X35">
        <f>IF(Source!BI25=2,G35, 0)</f>
        <v>0</v>
      </c>
      <c r="Y35">
        <f>IF(Source!BI25=3,G35, 0)</f>
        <v>0</v>
      </c>
      <c r="Z35">
        <f>IF(Source!BI25=4,G35, 0)</f>
        <v>0</v>
      </c>
    </row>
    <row r="36" spans="1:26" ht="57" x14ac:dyDescent="0.2">
      <c r="A36" s="24" t="str">
        <f>Source!E26</f>
        <v>3</v>
      </c>
      <c r="B36" s="25" t="str">
        <f>Source!F26</f>
        <v>01-01-033-2</v>
      </c>
      <c r="C36" s="23" t="str">
        <f>Source!G26</f>
        <v>Засыпка траншей и котлованов с перемещением грунта до 5 м бульдозерами мощностью 59 кВт (80 л.с.), группа грунтов 2</v>
      </c>
      <c r="D36" s="26" t="str">
        <f>Source!H26</f>
        <v>1000 м3 грунта</v>
      </c>
      <c r="E36" s="10">
        <f>Source!I26</f>
        <v>2.2679999999999999E-2</v>
      </c>
      <c r="F36" s="28">
        <f>IF(Source!AK26&lt;&gt; 0, Source!AK26,Source!AL26 + Source!AM26 + Source!AO26)</f>
        <v>909.09</v>
      </c>
      <c r="G36" s="27"/>
      <c r="H36" s="28"/>
      <c r="I36" s="27" t="str">
        <f>Source!BO26</f>
        <v>01-01-033-2</v>
      </c>
      <c r="J36" s="27"/>
      <c r="K36" s="28"/>
      <c r="L36" s="29"/>
      <c r="S36">
        <f>ROUND((Source!FX26/100)*((ROUND(Source!AF26*Source!I26, 2)+ROUND(Source!AE26*Source!I26, 2))), 2)</f>
        <v>1.91</v>
      </c>
      <c r="T36">
        <f>Source!X26</f>
        <v>63.36</v>
      </c>
      <c r="U36">
        <f>ROUND((Source!FY26/100)*((ROUND(Source!AF26*Source!I26, 2)+ROUND(Source!AE26*Source!I26, 2))), 2)</f>
        <v>0.96</v>
      </c>
      <c r="V36">
        <f>Source!Y26</f>
        <v>31.68</v>
      </c>
    </row>
    <row r="37" spans="1:26" x14ac:dyDescent="0.2">
      <c r="C37" s="30" t="str">
        <f>"Объем: "&amp;Source!I26&amp;"=22,68/"&amp;"1000"</f>
        <v>Объем: 0,02268=22,68/1000</v>
      </c>
    </row>
    <row r="38" spans="1:26" ht="14.25" x14ac:dyDescent="0.2">
      <c r="A38" s="24"/>
      <c r="B38" s="25"/>
      <c r="C38" s="23" t="s">
        <v>207</v>
      </c>
      <c r="D38" s="26"/>
      <c r="E38" s="10"/>
      <c r="F38" s="28">
        <f>Source!AM26</f>
        <v>909.09</v>
      </c>
      <c r="G38" s="27" t="str">
        <f>Source!DE26</f>
        <v/>
      </c>
      <c r="H38" s="28">
        <f>ROUND((((Source!ET26)-(Source!EU26))+Source!AE26)*Source!I26, 2)</f>
        <v>20.62</v>
      </c>
      <c r="I38" s="27"/>
      <c r="J38" s="27">
        <f>IF(Source!BB26&lt;&gt; 0, Source!BB26, 1)</f>
        <v>14.54</v>
      </c>
      <c r="K38" s="28">
        <f>Source!Q26</f>
        <v>299.79000000000002</v>
      </c>
      <c r="L38" s="29"/>
    </row>
    <row r="39" spans="1:26" ht="14.25" x14ac:dyDescent="0.2">
      <c r="A39" s="24"/>
      <c r="B39" s="25"/>
      <c r="C39" s="23" t="s">
        <v>419</v>
      </c>
      <c r="D39" s="26"/>
      <c r="E39" s="10"/>
      <c r="F39" s="28">
        <f>Source!AN26</f>
        <v>91.8</v>
      </c>
      <c r="G39" s="27" t="str">
        <f>Source!DF26</f>
        <v/>
      </c>
      <c r="H39" s="28">
        <f>ROUND(Source!AE26*Source!I26, 2)</f>
        <v>2.08</v>
      </c>
      <c r="I39" s="27"/>
      <c r="J39" s="27">
        <f>IF(Source!BS26&lt;&gt; 0, Source!BS26, 1)</f>
        <v>33.08</v>
      </c>
      <c r="K39" s="28">
        <f>Source!R26</f>
        <v>68.87</v>
      </c>
      <c r="L39" s="29"/>
      <c r="R39">
        <f>H39</f>
        <v>2.08</v>
      </c>
    </row>
    <row r="40" spans="1:26" ht="14.25" x14ac:dyDescent="0.2">
      <c r="A40" s="24"/>
      <c r="B40" s="25"/>
      <c r="C40" s="23" t="s">
        <v>420</v>
      </c>
      <c r="D40" s="26" t="s">
        <v>421</v>
      </c>
      <c r="E40" s="10">
        <f>Source!BZ26</f>
        <v>92</v>
      </c>
      <c r="F40" s="31"/>
      <c r="G40" s="27"/>
      <c r="H40" s="28">
        <f>SUM(S36:S41)</f>
        <v>1.91</v>
      </c>
      <c r="I40" s="32"/>
      <c r="J40" s="23">
        <f>Source!AT26</f>
        <v>92</v>
      </c>
      <c r="K40" s="28">
        <f>SUM(T36:T41)</f>
        <v>63.36</v>
      </c>
      <c r="L40" s="29"/>
    </row>
    <row r="41" spans="1:26" ht="14.25" x14ac:dyDescent="0.2">
      <c r="A41" s="36"/>
      <c r="B41" s="37"/>
      <c r="C41" s="38" t="s">
        <v>422</v>
      </c>
      <c r="D41" s="39" t="s">
        <v>421</v>
      </c>
      <c r="E41" s="40">
        <f>Source!CA26</f>
        <v>46</v>
      </c>
      <c r="F41" s="44"/>
      <c r="G41" s="42"/>
      <c r="H41" s="41">
        <f>SUM(U36:U41)</f>
        <v>0.96</v>
      </c>
      <c r="I41" s="45"/>
      <c r="J41" s="38">
        <f>Source!AU26</f>
        <v>46</v>
      </c>
      <c r="K41" s="41">
        <f>SUM(V36:V41)</f>
        <v>31.68</v>
      </c>
      <c r="L41" s="46"/>
    </row>
    <row r="42" spans="1:26" ht="15" x14ac:dyDescent="0.25">
      <c r="G42" s="87">
        <f>ROUND(Source!AC26*Source!I26, 2)+ROUND(Source!AF26*Source!I26, 2)+ROUND((((Source!ET26)-(Source!EU26))+Source!AE26)*Source!I26, 2)+SUM(H40:H41)</f>
        <v>23.490000000000002</v>
      </c>
      <c r="H42" s="87"/>
      <c r="J42" s="87">
        <f>Source!O26+SUM(K40:K41)</f>
        <v>394.83000000000004</v>
      </c>
      <c r="K42" s="87"/>
      <c r="L42" s="35">
        <f>Source!U26</f>
        <v>0</v>
      </c>
      <c r="O42" s="34">
        <f>G42</f>
        <v>23.490000000000002</v>
      </c>
      <c r="P42" s="34">
        <f>J42</f>
        <v>394.83000000000004</v>
      </c>
      <c r="Q42" s="34">
        <f>L42</f>
        <v>0</v>
      </c>
      <c r="W42">
        <f>IF(Source!BI26&lt;=1,G42, 0)</f>
        <v>23.490000000000002</v>
      </c>
      <c r="X42">
        <f>IF(Source!BI26=2,G42, 0)</f>
        <v>0</v>
      </c>
      <c r="Y42">
        <f>IF(Source!BI26=3,G42, 0)</f>
        <v>0</v>
      </c>
      <c r="Z42">
        <f>IF(Source!BI26=4,G42, 0)</f>
        <v>0</v>
      </c>
    </row>
    <row r="43" spans="1:26" ht="28.5" x14ac:dyDescent="0.2">
      <c r="A43" s="24" t="str">
        <f>Source!E27</f>
        <v>4</v>
      </c>
      <c r="B43" s="25" t="str">
        <f>Source!F27</f>
        <v>01-02-061-2</v>
      </c>
      <c r="C43" s="23" t="str">
        <f>Source!G27</f>
        <v>Засыпка вручную траншей, пазух котлованов и ям, группа грунтов 2</v>
      </c>
      <c r="D43" s="26" t="str">
        <f>Source!H27</f>
        <v>100 м3 грунта</v>
      </c>
      <c r="E43" s="10">
        <f>Source!I27</f>
        <v>9.7199999999999995E-2</v>
      </c>
      <c r="F43" s="28">
        <f>IF(Source!AK27&lt;&gt; 0, Source!AK27,Source!AL27 + Source!AM27 + Source!AO27)</f>
        <v>681.37</v>
      </c>
      <c r="G43" s="27"/>
      <c r="H43" s="28"/>
      <c r="I43" s="27" t="str">
        <f>Source!BO27</f>
        <v>01-02-061-2</v>
      </c>
      <c r="J43" s="27"/>
      <c r="K43" s="28"/>
      <c r="L43" s="29"/>
      <c r="S43">
        <f>ROUND((Source!FX27/100)*((ROUND(Source!AF27*Source!I27, 2)+ROUND(Source!AE27*Source!I27, 2))), 2)</f>
        <v>58.94</v>
      </c>
      <c r="T43">
        <f>Source!X27</f>
        <v>1949.87</v>
      </c>
      <c r="U43">
        <f>ROUND((Source!FY27/100)*((ROUND(Source!AF27*Source!I27, 2)+ROUND(Source!AE27*Source!I27, 2))), 2)</f>
        <v>26.49</v>
      </c>
      <c r="V43">
        <f>Source!Y27</f>
        <v>876.34</v>
      </c>
    </row>
    <row r="44" spans="1:26" x14ac:dyDescent="0.2">
      <c r="C44" s="30" t="str">
        <f>"Объем: "&amp;Source!I27&amp;"=9,72/"&amp;"100"</f>
        <v>Объем: 0,0972=9,72/100</v>
      </c>
    </row>
    <row r="45" spans="1:26" ht="14.25" x14ac:dyDescent="0.2">
      <c r="A45" s="24"/>
      <c r="B45" s="25"/>
      <c r="C45" s="23" t="s">
        <v>418</v>
      </c>
      <c r="D45" s="26"/>
      <c r="E45" s="10"/>
      <c r="F45" s="28">
        <f>Source!AO27</f>
        <v>681.37</v>
      </c>
      <c r="G45" s="27" t="str">
        <f>Source!DG27</f>
        <v/>
      </c>
      <c r="H45" s="28">
        <f>ROUND(Source!AF27*Source!I27, 2)</f>
        <v>66.23</v>
      </c>
      <c r="I45" s="27"/>
      <c r="J45" s="27">
        <f>IF(Source!BA27&lt;&gt; 0, Source!BA27, 1)</f>
        <v>33.08</v>
      </c>
      <c r="K45" s="28">
        <f>Source!S27</f>
        <v>2190.86</v>
      </c>
      <c r="L45" s="29"/>
      <c r="R45">
        <f>H45</f>
        <v>66.23</v>
      </c>
    </row>
    <row r="46" spans="1:26" ht="14.25" x14ac:dyDescent="0.2">
      <c r="A46" s="24"/>
      <c r="B46" s="25"/>
      <c r="C46" s="23" t="s">
        <v>420</v>
      </c>
      <c r="D46" s="26" t="s">
        <v>421</v>
      </c>
      <c r="E46" s="10">
        <f>Source!BZ27</f>
        <v>89</v>
      </c>
      <c r="F46" s="31"/>
      <c r="G46" s="27"/>
      <c r="H46" s="28">
        <f>SUM(S43:S48)</f>
        <v>58.94</v>
      </c>
      <c r="I46" s="32"/>
      <c r="J46" s="23">
        <f>Source!AT27</f>
        <v>89</v>
      </c>
      <c r="K46" s="28">
        <f>SUM(T43:T48)</f>
        <v>1949.87</v>
      </c>
      <c r="L46" s="29"/>
    </row>
    <row r="47" spans="1:26" ht="14.25" x14ac:dyDescent="0.2">
      <c r="A47" s="24"/>
      <c r="B47" s="25"/>
      <c r="C47" s="23" t="s">
        <v>422</v>
      </c>
      <c r="D47" s="26" t="s">
        <v>421</v>
      </c>
      <c r="E47" s="10">
        <f>Source!CA27</f>
        <v>40</v>
      </c>
      <c r="F47" s="31"/>
      <c r="G47" s="27"/>
      <c r="H47" s="28">
        <f>SUM(U43:U48)</f>
        <v>26.49</v>
      </c>
      <c r="I47" s="32"/>
      <c r="J47" s="23">
        <f>Source!AU27</f>
        <v>40</v>
      </c>
      <c r="K47" s="28">
        <f>SUM(V43:V48)</f>
        <v>876.34</v>
      </c>
      <c r="L47" s="29"/>
    </row>
    <row r="48" spans="1:26" ht="14.25" x14ac:dyDescent="0.2">
      <c r="A48" s="36"/>
      <c r="B48" s="37"/>
      <c r="C48" s="38" t="s">
        <v>423</v>
      </c>
      <c r="D48" s="39" t="s">
        <v>424</v>
      </c>
      <c r="E48" s="40">
        <f>Source!AQ27</f>
        <v>97.2</v>
      </c>
      <c r="F48" s="41"/>
      <c r="G48" s="42" t="str">
        <f>Source!DI27</f>
        <v/>
      </c>
      <c r="H48" s="41"/>
      <c r="I48" s="42"/>
      <c r="J48" s="42"/>
      <c r="K48" s="41"/>
      <c r="L48" s="43">
        <f>Source!U27</f>
        <v>9.4478399999999993</v>
      </c>
    </row>
    <row r="49" spans="1:26" ht="15" x14ac:dyDescent="0.25">
      <c r="G49" s="87">
        <f>ROUND(Source!AC27*Source!I27, 2)+ROUND(Source!AF27*Source!I27, 2)+ROUND((((Source!ET27)-(Source!EU27))+Source!AE27)*Source!I27, 2)+SUM(H46:H47)</f>
        <v>151.66</v>
      </c>
      <c r="H49" s="87"/>
      <c r="J49" s="87">
        <f>Source!O27+SUM(K46:K47)</f>
        <v>5017.07</v>
      </c>
      <c r="K49" s="87"/>
      <c r="L49" s="35">
        <f>Source!U27</f>
        <v>9.4478399999999993</v>
      </c>
      <c r="O49" s="34">
        <f>G49</f>
        <v>151.66</v>
      </c>
      <c r="P49" s="34">
        <f>J49</f>
        <v>5017.07</v>
      </c>
      <c r="Q49" s="34">
        <f>L49</f>
        <v>9.4478399999999993</v>
      </c>
      <c r="W49">
        <f>IF(Source!BI27&lt;=1,G49, 0)</f>
        <v>151.66</v>
      </c>
      <c r="X49">
        <f>IF(Source!BI27=2,G49, 0)</f>
        <v>0</v>
      </c>
      <c r="Y49">
        <f>IF(Source!BI27=3,G49, 0)</f>
        <v>0</v>
      </c>
      <c r="Z49">
        <f>IF(Source!BI27=4,G49, 0)</f>
        <v>0</v>
      </c>
    </row>
    <row r="50" spans="1:26" ht="28.5" x14ac:dyDescent="0.2">
      <c r="A50" s="24" t="str">
        <f>Source!E28</f>
        <v>5</v>
      </c>
      <c r="B50" s="25" t="str">
        <f>Source!F28</f>
        <v>м08-02-142-1</v>
      </c>
      <c r="C50" s="23" t="str">
        <f>Source!G28</f>
        <v>Устройство постели при одном кабеле в траншее</v>
      </c>
      <c r="D50" s="26" t="str">
        <f>Source!H28</f>
        <v>100 М КАБЕЛЯ</v>
      </c>
      <c r="E50" s="10">
        <f>Source!I28</f>
        <v>0.6</v>
      </c>
      <c r="F50" s="28">
        <f>IF(Source!AK28&lt;&gt; 0, Source!AK28,Source!AL28 + Source!AM28 + Source!AO28)</f>
        <v>406.46</v>
      </c>
      <c r="G50" s="27"/>
      <c r="H50" s="28"/>
      <c r="I50" s="27" t="str">
        <f>Source!BO28</f>
        <v>м08-02-142-1</v>
      </c>
      <c r="J50" s="27"/>
      <c r="K50" s="28"/>
      <c r="L50" s="29"/>
      <c r="S50">
        <f>ROUND((Source!FX28/100)*((ROUND(Source!AF28*Source!I28, 2)+ROUND(Source!AE28*Source!I28, 2))), 2)</f>
        <v>27.73</v>
      </c>
      <c r="T50">
        <f>Source!X28</f>
        <v>917.39</v>
      </c>
      <c r="U50">
        <f>ROUND((Source!FY28/100)*((ROUND(Source!AF28*Source!I28, 2)+ROUND(Source!AE28*Source!I28, 2))), 2)</f>
        <v>14.58</v>
      </c>
      <c r="V50">
        <f>Source!Y28</f>
        <v>482.34</v>
      </c>
    </row>
    <row r="51" spans="1:26" x14ac:dyDescent="0.2">
      <c r="C51" s="30" t="str">
        <f>"Объем: "&amp;Source!I28&amp;"=60/"&amp;"100"</f>
        <v>Объем: 0,6=60/100</v>
      </c>
    </row>
    <row r="52" spans="1:26" ht="14.25" x14ac:dyDescent="0.2">
      <c r="A52" s="24"/>
      <c r="B52" s="25"/>
      <c r="C52" s="23" t="s">
        <v>418</v>
      </c>
      <c r="D52" s="26"/>
      <c r="E52" s="10"/>
      <c r="F52" s="28">
        <f>Source!AO28</f>
        <v>47.65</v>
      </c>
      <c r="G52" s="27" t="str">
        <f>Source!DG28</f>
        <v/>
      </c>
      <c r="H52" s="28">
        <f>ROUND(Source!AF28*Source!I28, 2)</f>
        <v>28.59</v>
      </c>
      <c r="I52" s="27"/>
      <c r="J52" s="27">
        <f>IF(Source!BA28&lt;&gt; 0, Source!BA28, 1)</f>
        <v>33.08</v>
      </c>
      <c r="K52" s="28">
        <f>Source!S28</f>
        <v>945.76</v>
      </c>
      <c r="L52" s="29"/>
      <c r="R52">
        <f>H52</f>
        <v>28.59</v>
      </c>
    </row>
    <row r="53" spans="1:26" ht="14.25" x14ac:dyDescent="0.2">
      <c r="A53" s="24"/>
      <c r="B53" s="25"/>
      <c r="C53" s="23" t="s">
        <v>207</v>
      </c>
      <c r="D53" s="26"/>
      <c r="E53" s="10"/>
      <c r="F53" s="28">
        <f>Source!AM28</f>
        <v>357.86</v>
      </c>
      <c r="G53" s="27" t="str">
        <f>Source!DE28</f>
        <v/>
      </c>
      <c r="H53" s="28">
        <f>ROUND((((Source!ET28)-(Source!EU28))+Source!AE28)*Source!I28, 2)</f>
        <v>214.72</v>
      </c>
      <c r="I53" s="27"/>
      <c r="J53" s="27">
        <f>IF(Source!BB28&lt;&gt; 0, Source!BB28, 1)</f>
        <v>14.05</v>
      </c>
      <c r="K53" s="28">
        <f>Source!Q28</f>
        <v>3016.76</v>
      </c>
      <c r="L53" s="29"/>
    </row>
    <row r="54" spans="1:26" ht="14.25" x14ac:dyDescent="0.2">
      <c r="A54" s="24"/>
      <c r="B54" s="25"/>
      <c r="C54" s="23" t="s">
        <v>425</v>
      </c>
      <c r="D54" s="26"/>
      <c r="E54" s="10"/>
      <c r="F54" s="28">
        <f>Source!AL28</f>
        <v>0.95</v>
      </c>
      <c r="G54" s="27" t="str">
        <f>Source!DD28</f>
        <v/>
      </c>
      <c r="H54" s="28">
        <f>ROUND(Source!AC28*Source!I28, 2)</f>
        <v>0.56999999999999995</v>
      </c>
      <c r="I54" s="27"/>
      <c r="J54" s="27">
        <f>IF(Source!BC28&lt;&gt; 0, Source!BC28, 1)</f>
        <v>33.18</v>
      </c>
      <c r="K54" s="28">
        <f>Source!P28</f>
        <v>18.91</v>
      </c>
      <c r="L54" s="29"/>
    </row>
    <row r="55" spans="1:26" ht="14.25" x14ac:dyDescent="0.2">
      <c r="A55" s="24"/>
      <c r="B55" s="25"/>
      <c r="C55" s="23" t="s">
        <v>420</v>
      </c>
      <c r="D55" s="26" t="s">
        <v>421</v>
      </c>
      <c r="E55" s="10">
        <f>Source!BZ28</f>
        <v>97</v>
      </c>
      <c r="F55" s="31"/>
      <c r="G55" s="27"/>
      <c r="H55" s="28">
        <f>SUM(S50:S57)</f>
        <v>27.73</v>
      </c>
      <c r="I55" s="32"/>
      <c r="J55" s="23">
        <f>Source!AT28</f>
        <v>97</v>
      </c>
      <c r="K55" s="28">
        <f>SUM(T50:T57)</f>
        <v>917.39</v>
      </c>
      <c r="L55" s="29"/>
    </row>
    <row r="56" spans="1:26" ht="14.25" x14ac:dyDescent="0.2">
      <c r="A56" s="24"/>
      <c r="B56" s="25"/>
      <c r="C56" s="23" t="s">
        <v>422</v>
      </c>
      <c r="D56" s="26" t="s">
        <v>421</v>
      </c>
      <c r="E56" s="10">
        <f>Source!CA28</f>
        <v>51</v>
      </c>
      <c r="F56" s="31"/>
      <c r="G56" s="27"/>
      <c r="H56" s="28">
        <f>SUM(U50:U57)</f>
        <v>14.58</v>
      </c>
      <c r="I56" s="32"/>
      <c r="J56" s="23">
        <f>Source!AU28</f>
        <v>51</v>
      </c>
      <c r="K56" s="28">
        <f>SUM(V50:V57)</f>
        <v>482.34</v>
      </c>
      <c r="L56" s="29"/>
    </row>
    <row r="57" spans="1:26" ht="14.25" x14ac:dyDescent="0.2">
      <c r="A57" s="36"/>
      <c r="B57" s="37"/>
      <c r="C57" s="38" t="s">
        <v>423</v>
      </c>
      <c r="D57" s="39" t="s">
        <v>424</v>
      </c>
      <c r="E57" s="40">
        <f>Source!AQ28</f>
        <v>5.3</v>
      </c>
      <c r="F57" s="41"/>
      <c r="G57" s="42" t="str">
        <f>Source!DI28</f>
        <v/>
      </c>
      <c r="H57" s="41"/>
      <c r="I57" s="42"/>
      <c r="J57" s="42"/>
      <c r="K57" s="41"/>
      <c r="L57" s="43">
        <f>Source!U28</f>
        <v>3.1799999999999997</v>
      </c>
    </row>
    <row r="58" spans="1:26" ht="15" x14ac:dyDescent="0.25">
      <c r="G58" s="87">
        <f>ROUND(Source!AC28*Source!I28, 2)+ROUND(Source!AF28*Source!I28, 2)+ROUND((((Source!ET28)-(Source!EU28))+Source!AE28)*Source!I28, 2)+SUM(H55:H56)</f>
        <v>286.19</v>
      </c>
      <c r="H58" s="87"/>
      <c r="J58" s="87">
        <f>Source!O28+SUM(K55:K56)</f>
        <v>5381.16</v>
      </c>
      <c r="K58" s="87"/>
      <c r="L58" s="35">
        <f>Source!U28</f>
        <v>3.1799999999999997</v>
      </c>
      <c r="O58" s="34">
        <f>G58</f>
        <v>286.19</v>
      </c>
      <c r="P58" s="34">
        <f>J58</f>
        <v>5381.16</v>
      </c>
      <c r="Q58" s="34">
        <f>L58</f>
        <v>3.1799999999999997</v>
      </c>
      <c r="W58">
        <f>IF(Source!BI28&lt;=1,G58, 0)</f>
        <v>0</v>
      </c>
      <c r="X58">
        <f>IF(Source!BI28=2,G58, 0)</f>
        <v>286.19</v>
      </c>
      <c r="Y58">
        <f>IF(Source!BI28=3,G58, 0)</f>
        <v>0</v>
      </c>
      <c r="Z58">
        <f>IF(Source!BI28=4,G58, 0)</f>
        <v>0</v>
      </c>
    </row>
    <row r="59" spans="1:26" ht="28.5" x14ac:dyDescent="0.2">
      <c r="A59" s="24" t="str">
        <f>Source!E29</f>
        <v>6</v>
      </c>
      <c r="B59" s="25" t="str">
        <f>Source!F29</f>
        <v>м08-02-142-2</v>
      </c>
      <c r="C59" s="23" t="str">
        <f>Source!G29</f>
        <v>На каждый последующий кабель добавлять к расценке 08-02-142-01</v>
      </c>
      <c r="D59" s="26" t="str">
        <f>Source!H29</f>
        <v>100 М КАБЕЛЯ</v>
      </c>
      <c r="E59" s="10">
        <f>Source!I29</f>
        <v>1.8</v>
      </c>
      <c r="F59" s="28">
        <f>IF(Source!AK29&lt;&gt; 0, Source!AK29,Source!AL29 + Source!AM29 + Source!AO29)</f>
        <v>25.59</v>
      </c>
      <c r="G59" s="27"/>
      <c r="H59" s="28"/>
      <c r="I59" s="27" t="str">
        <f>Source!BO29</f>
        <v>м08-02-142-2</v>
      </c>
      <c r="J59" s="27"/>
      <c r="K59" s="28"/>
      <c r="L59" s="29"/>
      <c r="S59">
        <f>ROUND((Source!FX29/100)*((ROUND(Source!AF29*Source!I29, 2)+ROUND(Source!AE29*Source!I29, 2))), 2)</f>
        <v>31.23</v>
      </c>
      <c r="T59">
        <f>Source!X29</f>
        <v>1033.28</v>
      </c>
      <c r="U59">
        <f>ROUND((Source!FY29/100)*((ROUND(Source!AF29*Source!I29, 2)+ROUND(Source!AE29*Source!I29, 2))), 2)</f>
        <v>16.420000000000002</v>
      </c>
      <c r="V59">
        <f>Source!Y29</f>
        <v>543.27</v>
      </c>
    </row>
    <row r="60" spans="1:26" x14ac:dyDescent="0.2">
      <c r="C60" s="30" t="str">
        <f>"Объем: "&amp;Source!I29&amp;"=180/"&amp;"100"</f>
        <v>Объем: 1,8=180/100</v>
      </c>
    </row>
    <row r="61" spans="1:26" ht="14.25" x14ac:dyDescent="0.2">
      <c r="A61" s="24"/>
      <c r="B61" s="25"/>
      <c r="C61" s="23" t="s">
        <v>418</v>
      </c>
      <c r="D61" s="26"/>
      <c r="E61" s="10"/>
      <c r="F61" s="28">
        <f>Source!AO29</f>
        <v>17.89</v>
      </c>
      <c r="G61" s="27" t="str">
        <f>Source!DG29</f>
        <v/>
      </c>
      <c r="H61" s="28">
        <f>ROUND(Source!AF29*Source!I29, 2)</f>
        <v>32.200000000000003</v>
      </c>
      <c r="I61" s="27"/>
      <c r="J61" s="27">
        <f>IF(Source!BA29&lt;&gt; 0, Source!BA29, 1)</f>
        <v>33.08</v>
      </c>
      <c r="K61" s="28">
        <f>Source!S29</f>
        <v>1065.24</v>
      </c>
      <c r="L61" s="29"/>
      <c r="R61">
        <f>H61</f>
        <v>32.200000000000003</v>
      </c>
    </row>
    <row r="62" spans="1:26" ht="14.25" x14ac:dyDescent="0.2">
      <c r="A62" s="24"/>
      <c r="B62" s="25"/>
      <c r="C62" s="23" t="s">
        <v>207</v>
      </c>
      <c r="D62" s="26"/>
      <c r="E62" s="10"/>
      <c r="F62" s="28">
        <f>Source!AM29</f>
        <v>7.34</v>
      </c>
      <c r="G62" s="27" t="str">
        <f>Source!DE29</f>
        <v/>
      </c>
      <c r="H62" s="28">
        <f>ROUND((((Source!ET29)-(Source!EU29))+Source!AE29)*Source!I29, 2)</f>
        <v>13.21</v>
      </c>
      <c r="I62" s="27"/>
      <c r="J62" s="27">
        <f>IF(Source!BB29&lt;&gt; 0, Source!BB29, 1)</f>
        <v>14.05</v>
      </c>
      <c r="K62" s="28">
        <f>Source!Q29</f>
        <v>185.63</v>
      </c>
      <c r="L62" s="29"/>
    </row>
    <row r="63" spans="1:26" ht="14.25" x14ac:dyDescent="0.2">
      <c r="A63" s="24"/>
      <c r="B63" s="25"/>
      <c r="C63" s="23" t="s">
        <v>425</v>
      </c>
      <c r="D63" s="26"/>
      <c r="E63" s="10"/>
      <c r="F63" s="28">
        <f>Source!AL29</f>
        <v>0.36</v>
      </c>
      <c r="G63" s="27" t="str">
        <f>Source!DD29</f>
        <v/>
      </c>
      <c r="H63" s="28">
        <f>ROUND(Source!AC29*Source!I29, 2)</f>
        <v>0.65</v>
      </c>
      <c r="I63" s="27"/>
      <c r="J63" s="27">
        <f>IF(Source!BC29&lt;&gt; 0, Source!BC29, 1)</f>
        <v>32.89</v>
      </c>
      <c r="K63" s="28">
        <f>Source!P29</f>
        <v>21.31</v>
      </c>
      <c r="L63" s="29"/>
    </row>
    <row r="64" spans="1:26" ht="14.25" x14ac:dyDescent="0.2">
      <c r="A64" s="24"/>
      <c r="B64" s="25"/>
      <c r="C64" s="23" t="s">
        <v>420</v>
      </c>
      <c r="D64" s="26" t="s">
        <v>421</v>
      </c>
      <c r="E64" s="10">
        <f>Source!BZ29</f>
        <v>97</v>
      </c>
      <c r="F64" s="31"/>
      <c r="G64" s="27"/>
      <c r="H64" s="28">
        <f>SUM(S59:S66)</f>
        <v>31.23</v>
      </c>
      <c r="I64" s="32"/>
      <c r="J64" s="23">
        <f>Source!AT29</f>
        <v>97</v>
      </c>
      <c r="K64" s="28">
        <f>SUM(T59:T66)</f>
        <v>1033.28</v>
      </c>
      <c r="L64" s="29"/>
    </row>
    <row r="65" spans="1:28" ht="14.25" x14ac:dyDescent="0.2">
      <c r="A65" s="24"/>
      <c r="B65" s="25"/>
      <c r="C65" s="23" t="s">
        <v>422</v>
      </c>
      <c r="D65" s="26" t="s">
        <v>421</v>
      </c>
      <c r="E65" s="10">
        <f>Source!CA29</f>
        <v>51</v>
      </c>
      <c r="F65" s="31"/>
      <c r="G65" s="27"/>
      <c r="H65" s="28">
        <f>SUM(U59:U66)</f>
        <v>16.420000000000002</v>
      </c>
      <c r="I65" s="32"/>
      <c r="J65" s="23">
        <f>Source!AU29</f>
        <v>51</v>
      </c>
      <c r="K65" s="28">
        <f>SUM(V59:V66)</f>
        <v>543.27</v>
      </c>
      <c r="L65" s="29"/>
    </row>
    <row r="66" spans="1:28" ht="14.25" x14ac:dyDescent="0.2">
      <c r="A66" s="36"/>
      <c r="B66" s="37"/>
      <c r="C66" s="38" t="s">
        <v>423</v>
      </c>
      <c r="D66" s="39" t="s">
        <v>424</v>
      </c>
      <c r="E66" s="40">
        <f>Source!AQ29</f>
        <v>1.99</v>
      </c>
      <c r="F66" s="41"/>
      <c r="G66" s="42" t="str">
        <f>Source!DI29</f>
        <v/>
      </c>
      <c r="H66" s="41"/>
      <c r="I66" s="42"/>
      <c r="J66" s="42"/>
      <c r="K66" s="41"/>
      <c r="L66" s="43">
        <f>Source!U29</f>
        <v>3.5819999999999999</v>
      </c>
    </row>
    <row r="67" spans="1:28" ht="15" x14ac:dyDescent="0.25">
      <c r="G67" s="87">
        <f>ROUND(Source!AC29*Source!I29, 2)+ROUND(Source!AF29*Source!I29, 2)+ROUND((((Source!ET29)-(Source!EU29))+Source!AE29)*Source!I29, 2)+SUM(H64:H65)</f>
        <v>93.710000000000008</v>
      </c>
      <c r="H67" s="87"/>
      <c r="J67" s="87">
        <f>Source!O29+SUM(K64:K65)</f>
        <v>2848.73</v>
      </c>
      <c r="K67" s="87"/>
      <c r="L67" s="35">
        <f>Source!U29</f>
        <v>3.5819999999999999</v>
      </c>
      <c r="O67" s="34">
        <f>G67</f>
        <v>93.710000000000008</v>
      </c>
      <c r="P67" s="34">
        <f>J67</f>
        <v>2848.73</v>
      </c>
      <c r="Q67" s="34">
        <f>L67</f>
        <v>3.5819999999999999</v>
      </c>
      <c r="W67">
        <f>IF(Source!BI29&lt;=1,G67, 0)</f>
        <v>0</v>
      </c>
      <c r="X67">
        <f>IF(Source!BI29=2,G67, 0)</f>
        <v>93.710000000000008</v>
      </c>
      <c r="Y67">
        <f>IF(Source!BI29=3,G67, 0)</f>
        <v>0</v>
      </c>
      <c r="Z67">
        <f>IF(Source!BI29=4,G67, 0)</f>
        <v>0</v>
      </c>
    </row>
    <row r="68" spans="1:28" ht="42.75" x14ac:dyDescent="0.2">
      <c r="A68" s="24" t="str">
        <f>Source!E30</f>
        <v>7</v>
      </c>
      <c r="B68" s="25" t="str">
        <f>Source!F30</f>
        <v>м08-02-148-4</v>
      </c>
      <c r="C68" s="23" t="str">
        <f>Source!G30</f>
        <v>Кабель до 35 кВ в проложенных трубах, блоках и коробах, масса 1 м кабеля до 6 кг</v>
      </c>
      <c r="D68" s="26" t="str">
        <f>Source!H30</f>
        <v>100 М КАБЕЛЯ</v>
      </c>
      <c r="E68" s="10">
        <f>Source!I30</f>
        <v>2.4</v>
      </c>
      <c r="F68" s="28">
        <f>IF(Source!AK30&lt;&gt; 0, Source!AK30,Source!AL30 + Source!AM30 + Source!AO30)</f>
        <v>339.16</v>
      </c>
      <c r="G68" s="27"/>
      <c r="H68" s="28"/>
      <c r="I68" s="27" t="str">
        <f>Source!BO30</f>
        <v>м08-02-148-4</v>
      </c>
      <c r="J68" s="27"/>
      <c r="K68" s="28"/>
      <c r="L68" s="29"/>
      <c r="S68">
        <f>ROUND((Source!FX30/100)*((ROUND(Source!AF30*Source!I30, 2)+ROUND(Source!AE30*Source!I30, 2))), 2)</f>
        <v>487.83</v>
      </c>
      <c r="T68">
        <f>Source!X30</f>
        <v>16137.49</v>
      </c>
      <c r="U68">
        <f>ROUND((Source!FY30/100)*((ROUND(Source!AF30*Source!I30, 2)+ROUND(Source!AE30*Source!I30, 2))), 2)</f>
        <v>256.49</v>
      </c>
      <c r="V68">
        <f>Source!Y30</f>
        <v>8484.66</v>
      </c>
    </row>
    <row r="69" spans="1:28" x14ac:dyDescent="0.2">
      <c r="C69" s="30" t="str">
        <f>"Объем: "&amp;Source!I30&amp;"=240/"&amp;"100"</f>
        <v>Объем: 2,4=240/100</v>
      </c>
    </row>
    <row r="70" spans="1:28" ht="14.25" x14ac:dyDescent="0.2">
      <c r="A70" s="24"/>
      <c r="B70" s="25"/>
      <c r="C70" s="23" t="s">
        <v>418</v>
      </c>
      <c r="D70" s="26"/>
      <c r="E70" s="10"/>
      <c r="F70" s="28">
        <f>Source!AO30</f>
        <v>207.13</v>
      </c>
      <c r="G70" s="27" t="str">
        <f>Source!DG30</f>
        <v/>
      </c>
      <c r="H70" s="28">
        <f>ROUND(Source!AF30*Source!I30, 2)</f>
        <v>497.11</v>
      </c>
      <c r="I70" s="27"/>
      <c r="J70" s="27">
        <f>IF(Source!BA30&lt;&gt; 0, Source!BA30, 1)</f>
        <v>33.08</v>
      </c>
      <c r="K70" s="28">
        <f>Source!S30</f>
        <v>16444.46</v>
      </c>
      <c r="L70" s="29"/>
      <c r="R70">
        <f>H70</f>
        <v>497.11</v>
      </c>
    </row>
    <row r="71" spans="1:28" ht="14.25" x14ac:dyDescent="0.2">
      <c r="A71" s="24"/>
      <c r="B71" s="25"/>
      <c r="C71" s="23" t="s">
        <v>207</v>
      </c>
      <c r="D71" s="26"/>
      <c r="E71" s="10"/>
      <c r="F71" s="28">
        <f>Source!AM30</f>
        <v>90.42</v>
      </c>
      <c r="G71" s="27" t="str">
        <f>Source!DE30</f>
        <v/>
      </c>
      <c r="H71" s="28">
        <f>ROUND((((Source!ET30)-(Source!EU30))+Source!AE30)*Source!I30, 2)</f>
        <v>217.01</v>
      </c>
      <c r="I71" s="27"/>
      <c r="J71" s="27">
        <f>IF(Source!BB30&lt;&gt; 0, Source!BB30, 1)</f>
        <v>8.6300000000000008</v>
      </c>
      <c r="K71" s="28">
        <f>Source!Q30</f>
        <v>1872.78</v>
      </c>
      <c r="L71" s="29"/>
    </row>
    <row r="72" spans="1:28" ht="14.25" x14ac:dyDescent="0.2">
      <c r="A72" s="24"/>
      <c r="B72" s="25"/>
      <c r="C72" s="23" t="s">
        <v>419</v>
      </c>
      <c r="D72" s="26"/>
      <c r="E72" s="10"/>
      <c r="F72" s="28">
        <f>Source!AN30</f>
        <v>2.42</v>
      </c>
      <c r="G72" s="27" t="str">
        <f>Source!DF30</f>
        <v/>
      </c>
      <c r="H72" s="28">
        <f>ROUND(Source!AE30*Source!I30, 2)</f>
        <v>5.81</v>
      </c>
      <c r="I72" s="27"/>
      <c r="J72" s="27">
        <f>IF(Source!BS30&lt;&gt; 0, Source!BS30, 1)</f>
        <v>33.08</v>
      </c>
      <c r="K72" s="28">
        <f>Source!R30</f>
        <v>192.13</v>
      </c>
      <c r="L72" s="29"/>
      <c r="R72">
        <f>H72</f>
        <v>5.81</v>
      </c>
    </row>
    <row r="73" spans="1:28" ht="14.25" x14ac:dyDescent="0.2">
      <c r="A73" s="24"/>
      <c r="B73" s="25"/>
      <c r="C73" s="23" t="s">
        <v>425</v>
      </c>
      <c r="D73" s="26"/>
      <c r="E73" s="10"/>
      <c r="F73" s="28">
        <f>Source!AL30</f>
        <v>41.61</v>
      </c>
      <c r="G73" s="27" t="str">
        <f>Source!DD30</f>
        <v/>
      </c>
      <c r="H73" s="28">
        <f>ROUND(Source!AC30*Source!I30, 2)</f>
        <v>99.86</v>
      </c>
      <c r="I73" s="27"/>
      <c r="J73" s="27">
        <f>IF(Source!BC30&lt;&gt; 0, Source!BC30, 1)</f>
        <v>13.19</v>
      </c>
      <c r="K73" s="28">
        <f>Source!P30</f>
        <v>1317.21</v>
      </c>
      <c r="L73" s="29"/>
    </row>
    <row r="74" spans="1:28" ht="14.25" x14ac:dyDescent="0.2">
      <c r="A74" s="24"/>
      <c r="B74" s="25"/>
      <c r="C74" s="23" t="s">
        <v>420</v>
      </c>
      <c r="D74" s="26" t="s">
        <v>421</v>
      </c>
      <c r="E74" s="10">
        <f>Source!BZ30</f>
        <v>97</v>
      </c>
      <c r="F74" s="31"/>
      <c r="G74" s="27"/>
      <c r="H74" s="28">
        <f>SUM(S68:S77)</f>
        <v>487.83</v>
      </c>
      <c r="I74" s="32"/>
      <c r="J74" s="23">
        <f>Source!AT30</f>
        <v>97</v>
      </c>
      <c r="K74" s="28">
        <f>SUM(T68:T77)</f>
        <v>16137.49</v>
      </c>
      <c r="L74" s="29"/>
    </row>
    <row r="75" spans="1:28" ht="14.25" x14ac:dyDescent="0.2">
      <c r="A75" s="24"/>
      <c r="B75" s="25"/>
      <c r="C75" s="23" t="s">
        <v>422</v>
      </c>
      <c r="D75" s="26" t="s">
        <v>421</v>
      </c>
      <c r="E75" s="10">
        <f>Source!CA30</f>
        <v>51</v>
      </c>
      <c r="F75" s="31"/>
      <c r="G75" s="27"/>
      <c r="H75" s="28">
        <f>SUM(U68:U77)</f>
        <v>256.49</v>
      </c>
      <c r="I75" s="32"/>
      <c r="J75" s="23">
        <f>Source!AU30</f>
        <v>51</v>
      </c>
      <c r="K75" s="28">
        <f>SUM(V68:V77)</f>
        <v>8484.66</v>
      </c>
      <c r="L75" s="29"/>
    </row>
    <row r="76" spans="1:28" ht="14.25" x14ac:dyDescent="0.2">
      <c r="A76" s="24"/>
      <c r="B76" s="25"/>
      <c r="C76" s="23" t="s">
        <v>423</v>
      </c>
      <c r="D76" s="26" t="s">
        <v>424</v>
      </c>
      <c r="E76" s="10">
        <f>Source!AQ30</f>
        <v>23.04</v>
      </c>
      <c r="F76" s="28"/>
      <c r="G76" s="27" t="str">
        <f>Source!DI30</f>
        <v/>
      </c>
      <c r="H76" s="28"/>
      <c r="I76" s="27"/>
      <c r="J76" s="27"/>
      <c r="K76" s="28"/>
      <c r="L76" s="33">
        <f>Source!U30</f>
        <v>55.295999999999999</v>
      </c>
    </row>
    <row r="77" spans="1:28" ht="28.5" x14ac:dyDescent="0.2">
      <c r="A77" s="52" t="str">
        <f>Source!E31</f>
        <v>7,1</v>
      </c>
      <c r="B77" s="52" t="str">
        <f>Source!F31</f>
        <v>506-1362</v>
      </c>
      <c r="C77" s="52" t="str">
        <f>Source!G31</f>
        <v>Припои оловянно-свинцовые бессурьмянистые марки ПОС30</v>
      </c>
      <c r="D77" s="53" t="str">
        <f>Source!H31</f>
        <v>кг</v>
      </c>
      <c r="E77" s="54">
        <f>Source!I31</f>
        <v>-1.2</v>
      </c>
      <c r="F77" s="55">
        <f>Source!AK31</f>
        <v>71.45</v>
      </c>
      <c r="G77" s="56" t="s">
        <v>3</v>
      </c>
      <c r="H77" s="55">
        <f>ROUND(Source!AC31*Source!I31, 2)+ROUND((((Source!ET31)-(Source!EU31))+Source!AE31)*Source!I31, 2)+ROUND(Source!AF31*Source!I31, 2)</f>
        <v>-85.74</v>
      </c>
      <c r="I77" s="53"/>
      <c r="J77" s="53">
        <f>IF(Source!BC31&lt;&gt; 0, Source!BC31, 1)</f>
        <v>11.19</v>
      </c>
      <c r="K77" s="55">
        <f>Source!O31</f>
        <v>-959.43</v>
      </c>
      <c r="L77" s="55"/>
      <c r="S77">
        <f>ROUND((Source!FX31/100)*((ROUND(Source!AF31*Source!I31, 2)+ROUND(Source!AE31*Source!I31, 2))), 2)</f>
        <v>0</v>
      </c>
      <c r="T77">
        <f>Source!X31</f>
        <v>0</v>
      </c>
      <c r="U77">
        <f>ROUND((Source!FY31/100)*((ROUND(Source!AF31*Source!I31, 2)+ROUND(Source!AE31*Source!I31, 2))), 2)</f>
        <v>0</v>
      </c>
      <c r="V77">
        <f>Source!Y31</f>
        <v>0</v>
      </c>
      <c r="Y77">
        <f>IF(Source!BI31=3,H77, 0)</f>
        <v>0</v>
      </c>
      <c r="AA77">
        <f>ROUND(Source!AC31*Source!I31, 2)+ROUND((((Source!ET31)-(Source!EU31))+Source!AE31)*Source!I31, 2)+ROUND(Source!AF31*Source!I31, 2)</f>
        <v>-85.74</v>
      </c>
      <c r="AB77">
        <f>Source!O31</f>
        <v>-959.43</v>
      </c>
    </row>
    <row r="78" spans="1:28" ht="15" x14ac:dyDescent="0.25">
      <c r="G78" s="87">
        <f>ROUND(Source!AC30*Source!I30, 2)+ROUND(Source!AF30*Source!I30, 2)+ROUND((((Source!ET30)-(Source!EU30))+Source!AE30)*Source!I30, 2)+SUM(H74:H75)+SUM(AA77:AA77)</f>
        <v>1472.56</v>
      </c>
      <c r="H78" s="87"/>
      <c r="J78" s="87">
        <f>Source!O30+SUM(K74:K75)+SUM(AB77:AB77)</f>
        <v>43297.170000000006</v>
      </c>
      <c r="K78" s="87"/>
      <c r="L78" s="35">
        <f>Source!U30</f>
        <v>55.295999999999999</v>
      </c>
      <c r="O78" s="34">
        <f>G78</f>
        <v>1472.56</v>
      </c>
      <c r="P78" s="34">
        <f>J78</f>
        <v>43297.170000000006</v>
      </c>
      <c r="Q78" s="34">
        <f>L78</f>
        <v>55.295999999999999</v>
      </c>
      <c r="W78">
        <f>IF(Source!BI30&lt;=1,G78, 0)</f>
        <v>0</v>
      </c>
      <c r="X78">
        <f>IF(Source!BI30=2,G78, 0)</f>
        <v>1472.56</v>
      </c>
      <c r="Y78">
        <f>IF(Source!BI30=3,G78, 0)</f>
        <v>0</v>
      </c>
      <c r="Z78">
        <f>IF(Source!BI30=4,G78, 0)</f>
        <v>0</v>
      </c>
    </row>
    <row r="79" spans="1:28" ht="28.5" x14ac:dyDescent="0.2">
      <c r="A79" s="24" t="str">
        <f>Source!E32</f>
        <v>8</v>
      </c>
      <c r="B79" s="25" t="str">
        <f>Source!F32</f>
        <v>м08-02-396-6</v>
      </c>
      <c r="C79" s="23" t="str">
        <f>Source!G32</f>
        <v>Короб металлический по стенам и потолкам, длина 3 м</v>
      </c>
      <c r="D79" s="26" t="str">
        <f>Source!H32</f>
        <v>100 м</v>
      </c>
      <c r="E79" s="10">
        <f>Source!I32</f>
        <v>0.22</v>
      </c>
      <c r="F79" s="28">
        <f>IF(Source!AK32&lt;&gt; 0, Source!AK32,Source!AL32 + Source!AM32 + Source!AO32)</f>
        <v>371.2</v>
      </c>
      <c r="G79" s="27"/>
      <c r="H79" s="28"/>
      <c r="I79" s="27" t="str">
        <f>Source!BO32</f>
        <v>м08-02-396-6</v>
      </c>
      <c r="J79" s="27"/>
      <c r="K79" s="28"/>
      <c r="L79" s="29"/>
      <c r="S79">
        <f>ROUND((Source!FX32/100)*((ROUND(Source!AF32*Source!I32, 2)+ROUND(Source!AE32*Source!I32, 2))), 2)</f>
        <v>44.38</v>
      </c>
      <c r="T79">
        <f>Source!X32</f>
        <v>1467.98</v>
      </c>
      <c r="U79">
        <f>ROUND((Source!FY32/100)*((ROUND(Source!AF32*Source!I32, 2)+ROUND(Source!AE32*Source!I32, 2))), 2)</f>
        <v>23.33</v>
      </c>
      <c r="V79">
        <f>Source!Y32</f>
        <v>771.82</v>
      </c>
    </row>
    <row r="80" spans="1:28" x14ac:dyDescent="0.2">
      <c r="C80" s="30" t="str">
        <f>"Объем: "&amp;Source!I32&amp;"=22/"&amp;"100"</f>
        <v>Объем: 0,22=22/100</v>
      </c>
    </row>
    <row r="81" spans="1:28" ht="14.25" x14ac:dyDescent="0.2">
      <c r="A81" s="24"/>
      <c r="B81" s="25"/>
      <c r="C81" s="23" t="s">
        <v>418</v>
      </c>
      <c r="D81" s="26"/>
      <c r="E81" s="10"/>
      <c r="F81" s="28">
        <f>Source!AO32</f>
        <v>206.74</v>
      </c>
      <c r="G81" s="27" t="str">
        <f>Source!DG32</f>
        <v/>
      </c>
      <c r="H81" s="28">
        <f>ROUND(Source!AF32*Source!I32, 2)</f>
        <v>45.48</v>
      </c>
      <c r="I81" s="27"/>
      <c r="J81" s="27">
        <f>IF(Source!BA32&lt;&gt; 0, Source!BA32, 1)</f>
        <v>33.08</v>
      </c>
      <c r="K81" s="28">
        <f>Source!S32</f>
        <v>1504.57</v>
      </c>
      <c r="L81" s="29"/>
      <c r="R81">
        <f>H81</f>
        <v>45.48</v>
      </c>
    </row>
    <row r="82" spans="1:28" ht="14.25" x14ac:dyDescent="0.2">
      <c r="A82" s="24"/>
      <c r="B82" s="25"/>
      <c r="C82" s="23" t="s">
        <v>207</v>
      </c>
      <c r="D82" s="26"/>
      <c r="E82" s="10"/>
      <c r="F82" s="28">
        <f>Source!AM32</f>
        <v>36.090000000000003</v>
      </c>
      <c r="G82" s="27" t="str">
        <f>Source!DE32</f>
        <v/>
      </c>
      <c r="H82" s="28">
        <f>ROUND((((Source!ET32)-(Source!EU32))+Source!AE32)*Source!I32, 2)</f>
        <v>7.94</v>
      </c>
      <c r="I82" s="27"/>
      <c r="J82" s="27">
        <f>IF(Source!BB32&lt;&gt; 0, Source!BB32, 1)</f>
        <v>10.06</v>
      </c>
      <c r="K82" s="28">
        <f>Source!Q32</f>
        <v>79.87</v>
      </c>
      <c r="L82" s="29"/>
    </row>
    <row r="83" spans="1:28" ht="14.25" x14ac:dyDescent="0.2">
      <c r="A83" s="24"/>
      <c r="B83" s="25"/>
      <c r="C83" s="23" t="s">
        <v>419</v>
      </c>
      <c r="D83" s="26"/>
      <c r="E83" s="10"/>
      <c r="F83" s="28">
        <f>Source!AN32</f>
        <v>1.21</v>
      </c>
      <c r="G83" s="27" t="str">
        <f>Source!DF32</f>
        <v/>
      </c>
      <c r="H83" s="28">
        <f>ROUND(Source!AE32*Source!I32, 2)</f>
        <v>0.27</v>
      </c>
      <c r="I83" s="27"/>
      <c r="J83" s="27">
        <f>IF(Source!BS32&lt;&gt; 0, Source!BS32, 1)</f>
        <v>33.08</v>
      </c>
      <c r="K83" s="28">
        <f>Source!R32</f>
        <v>8.81</v>
      </c>
      <c r="L83" s="29"/>
      <c r="R83">
        <f>H83</f>
        <v>0.27</v>
      </c>
    </row>
    <row r="84" spans="1:28" ht="14.25" x14ac:dyDescent="0.2">
      <c r="A84" s="24"/>
      <c r="B84" s="25"/>
      <c r="C84" s="23" t="s">
        <v>425</v>
      </c>
      <c r="D84" s="26"/>
      <c r="E84" s="10"/>
      <c r="F84" s="28">
        <f>Source!AL32</f>
        <v>128.37</v>
      </c>
      <c r="G84" s="27" t="str">
        <f>Source!DD32</f>
        <v/>
      </c>
      <c r="H84" s="28">
        <f>ROUND(Source!AC32*Source!I32, 2)</f>
        <v>28.24</v>
      </c>
      <c r="I84" s="27"/>
      <c r="J84" s="27">
        <f>IF(Source!BC32&lt;&gt; 0, Source!BC32, 1)</f>
        <v>8.7899999999999991</v>
      </c>
      <c r="K84" s="28">
        <f>Source!P32</f>
        <v>248.24</v>
      </c>
      <c r="L84" s="29"/>
    </row>
    <row r="85" spans="1:28" ht="14.25" x14ac:dyDescent="0.2">
      <c r="A85" s="24"/>
      <c r="B85" s="25"/>
      <c r="C85" s="23" t="s">
        <v>420</v>
      </c>
      <c r="D85" s="26" t="s">
        <v>421</v>
      </c>
      <c r="E85" s="10">
        <f>Source!BZ32</f>
        <v>97</v>
      </c>
      <c r="F85" s="31"/>
      <c r="G85" s="27"/>
      <c r="H85" s="28">
        <f>SUM(S79:S88)</f>
        <v>44.38</v>
      </c>
      <c r="I85" s="32"/>
      <c r="J85" s="23">
        <f>Source!AT32</f>
        <v>97</v>
      </c>
      <c r="K85" s="28">
        <f>SUM(T79:T88)</f>
        <v>1467.98</v>
      </c>
      <c r="L85" s="29"/>
    </row>
    <row r="86" spans="1:28" ht="14.25" x14ac:dyDescent="0.2">
      <c r="A86" s="24"/>
      <c r="B86" s="25"/>
      <c r="C86" s="23" t="s">
        <v>422</v>
      </c>
      <c r="D86" s="26" t="s">
        <v>421</v>
      </c>
      <c r="E86" s="10">
        <f>Source!CA32</f>
        <v>51</v>
      </c>
      <c r="F86" s="31"/>
      <c r="G86" s="27"/>
      <c r="H86" s="28">
        <f>SUM(U79:U88)</f>
        <v>23.33</v>
      </c>
      <c r="I86" s="32"/>
      <c r="J86" s="23">
        <f>Source!AU32</f>
        <v>51</v>
      </c>
      <c r="K86" s="28">
        <f>SUM(V79:V88)</f>
        <v>771.82</v>
      </c>
      <c r="L86" s="29"/>
    </row>
    <row r="87" spans="1:28" ht="14.25" x14ac:dyDescent="0.2">
      <c r="A87" s="24"/>
      <c r="B87" s="25"/>
      <c r="C87" s="23" t="s">
        <v>423</v>
      </c>
      <c r="D87" s="26" t="s">
        <v>424</v>
      </c>
      <c r="E87" s="10">
        <f>Source!AQ32</f>
        <v>23.52</v>
      </c>
      <c r="F87" s="28"/>
      <c r="G87" s="27" t="str">
        <f>Source!DI32</f>
        <v/>
      </c>
      <c r="H87" s="28"/>
      <c r="I87" s="27"/>
      <c r="J87" s="27"/>
      <c r="K87" s="28"/>
      <c r="L87" s="33">
        <f>Source!U32</f>
        <v>5.1744000000000003</v>
      </c>
    </row>
    <row r="88" spans="1:28" ht="14.25" x14ac:dyDescent="0.2">
      <c r="A88" s="52" t="str">
        <f>Source!E33</f>
        <v>8,1</v>
      </c>
      <c r="B88" s="52" t="str">
        <f>Source!F33</f>
        <v>101-1924</v>
      </c>
      <c r="C88" s="52" t="str">
        <f>Source!G33</f>
        <v>Электроды диаметром 4 мм Э42А</v>
      </c>
      <c r="D88" s="53" t="str">
        <f>Source!H33</f>
        <v>кг</v>
      </c>
      <c r="E88" s="54">
        <f>Source!I33</f>
        <v>-1.5047999999999999</v>
      </c>
      <c r="F88" s="55">
        <f>Source!AK33</f>
        <v>12.65</v>
      </c>
      <c r="G88" s="56" t="s">
        <v>3</v>
      </c>
      <c r="H88" s="55">
        <f>ROUND(Source!AC33*Source!I33, 2)+ROUND((((Source!ET33)-(Source!EU33))+Source!AE33)*Source!I33, 2)+ROUND(Source!AF33*Source!I33, 2)</f>
        <v>-19.04</v>
      </c>
      <c r="I88" s="53"/>
      <c r="J88" s="53">
        <f>IF(Source!BC33&lt;&gt; 0, Source!BC33, 1)</f>
        <v>9.6300000000000008</v>
      </c>
      <c r="K88" s="55">
        <f>Source!O33</f>
        <v>-183.31</v>
      </c>
      <c r="L88" s="55"/>
      <c r="S88">
        <f>ROUND((Source!FX33/100)*((ROUND(Source!AF33*Source!I33, 2)+ROUND(Source!AE33*Source!I33, 2))), 2)</f>
        <v>0</v>
      </c>
      <c r="T88">
        <f>Source!X33</f>
        <v>0</v>
      </c>
      <c r="U88">
        <f>ROUND((Source!FY33/100)*((ROUND(Source!AF33*Source!I33, 2)+ROUND(Source!AE33*Source!I33, 2))), 2)</f>
        <v>0</v>
      </c>
      <c r="V88">
        <f>Source!Y33</f>
        <v>0</v>
      </c>
      <c r="Y88">
        <f>IF(Source!BI33=3,H88, 0)</f>
        <v>0</v>
      </c>
      <c r="AA88">
        <f>ROUND(Source!AC33*Source!I33, 2)+ROUND((((Source!ET33)-(Source!EU33))+Source!AE33)*Source!I33, 2)+ROUND(Source!AF33*Source!I33, 2)</f>
        <v>-19.04</v>
      </c>
      <c r="AB88">
        <f>Source!O33</f>
        <v>-183.31</v>
      </c>
    </row>
    <row r="89" spans="1:28" ht="15" x14ac:dyDescent="0.25">
      <c r="G89" s="87">
        <f>ROUND(Source!AC32*Source!I32, 2)+ROUND(Source!AF32*Source!I32, 2)+ROUND((((Source!ET32)-(Source!EU32))+Source!AE32)*Source!I32, 2)+SUM(H85:H86)+SUM(AA88:AA88)</f>
        <v>130.33000000000001</v>
      </c>
      <c r="H89" s="87"/>
      <c r="J89" s="87">
        <f>Source!O32+SUM(K85:K86)+SUM(AB88:AB88)</f>
        <v>3889.1700000000005</v>
      </c>
      <c r="K89" s="87"/>
      <c r="L89" s="35">
        <f>Source!U32</f>
        <v>5.1744000000000003</v>
      </c>
      <c r="O89" s="34">
        <f>G89</f>
        <v>130.33000000000001</v>
      </c>
      <c r="P89" s="34">
        <f>J89</f>
        <v>3889.1700000000005</v>
      </c>
      <c r="Q89" s="34">
        <f>L89</f>
        <v>5.1744000000000003</v>
      </c>
      <c r="W89">
        <f>IF(Source!BI32&lt;=1,G89, 0)</f>
        <v>0</v>
      </c>
      <c r="X89">
        <f>IF(Source!BI32=2,G89, 0)</f>
        <v>130.33000000000001</v>
      </c>
      <c r="Y89">
        <f>IF(Source!BI32=3,G89, 0)</f>
        <v>0</v>
      </c>
      <c r="Z89">
        <f>IF(Source!BI32=4,G89, 0)</f>
        <v>0</v>
      </c>
    </row>
    <row r="90" spans="1:28" ht="57" x14ac:dyDescent="0.2">
      <c r="A90" s="24" t="str">
        <f>Source!E34</f>
        <v>9</v>
      </c>
      <c r="B90" s="25" t="str">
        <f>Source!F34</f>
        <v>м08-02-147-4</v>
      </c>
      <c r="C90" s="23" t="str">
        <f>Source!G34</f>
        <v>Кабель до 35 кВ по установленным конструкциям и лоткам с креплением на поворотах и в конце трассы, масса 1 м кабеля до 6 кг</v>
      </c>
      <c r="D90" s="26" t="str">
        <f>Source!H34</f>
        <v>100 М КАБЕЛЯ</v>
      </c>
      <c r="E90" s="10">
        <f>Source!I34</f>
        <v>0.44</v>
      </c>
      <c r="F90" s="28">
        <f>IF(Source!AK34&lt;&gt; 0, Source!AK34,Source!AL34 + Source!AM34 + Source!AO34)</f>
        <v>301.02999999999997</v>
      </c>
      <c r="G90" s="27"/>
      <c r="H90" s="28"/>
      <c r="I90" s="27" t="str">
        <f>Source!BO34</f>
        <v>м08-02-147-4</v>
      </c>
      <c r="J90" s="27"/>
      <c r="K90" s="28"/>
      <c r="L90" s="29"/>
      <c r="S90">
        <f>ROUND((Source!FX34/100)*((ROUND(Source!AF34*Source!I34, 2)+ROUND(Source!AE34*Source!I34, 2))), 2)</f>
        <v>78.69</v>
      </c>
      <c r="T90">
        <f>Source!X34</f>
        <v>2603.17</v>
      </c>
      <c r="U90">
        <f>ROUND((Source!FY34/100)*((ROUND(Source!AF34*Source!I34, 2)+ROUND(Source!AE34*Source!I34, 2))), 2)</f>
        <v>41.37</v>
      </c>
      <c r="V90">
        <f>Source!Y34</f>
        <v>1368.68</v>
      </c>
    </row>
    <row r="91" spans="1:28" x14ac:dyDescent="0.2">
      <c r="C91" s="30" t="str">
        <f>"Объем: "&amp;Source!I34&amp;"=44/"&amp;"100"</f>
        <v>Объем: 0,44=44/100</v>
      </c>
    </row>
    <row r="92" spans="1:28" ht="14.25" x14ac:dyDescent="0.2">
      <c r="A92" s="24"/>
      <c r="B92" s="25"/>
      <c r="C92" s="23" t="s">
        <v>418</v>
      </c>
      <c r="D92" s="26"/>
      <c r="E92" s="10"/>
      <c r="F92" s="28">
        <f>Source!AO34</f>
        <v>181.96</v>
      </c>
      <c r="G92" s="27" t="str">
        <f>Source!DG34</f>
        <v/>
      </c>
      <c r="H92" s="28">
        <f>ROUND(Source!AF34*Source!I34, 2)</f>
        <v>80.06</v>
      </c>
      <c r="I92" s="27"/>
      <c r="J92" s="27">
        <f>IF(Source!BA34&lt;&gt; 0, Source!BA34, 1)</f>
        <v>33.08</v>
      </c>
      <c r="K92" s="28">
        <f>Source!S34</f>
        <v>2648.46</v>
      </c>
      <c r="L92" s="29"/>
      <c r="R92">
        <f>H92</f>
        <v>80.06</v>
      </c>
    </row>
    <row r="93" spans="1:28" ht="14.25" x14ac:dyDescent="0.2">
      <c r="A93" s="24"/>
      <c r="B93" s="25"/>
      <c r="C93" s="23" t="s">
        <v>207</v>
      </c>
      <c r="D93" s="26"/>
      <c r="E93" s="10"/>
      <c r="F93" s="28">
        <f>Source!AM34</f>
        <v>86.36</v>
      </c>
      <c r="G93" s="27" t="str">
        <f>Source!DE34</f>
        <v/>
      </c>
      <c r="H93" s="28">
        <f>ROUND((((Source!ET34)-(Source!EU34))+Source!AE34)*Source!I34, 2)</f>
        <v>38</v>
      </c>
      <c r="I93" s="27"/>
      <c r="J93" s="27">
        <f>IF(Source!BB34&lt;&gt; 0, Source!BB34, 1)</f>
        <v>8.7899999999999991</v>
      </c>
      <c r="K93" s="28">
        <f>Source!Q34</f>
        <v>334.01</v>
      </c>
      <c r="L93" s="29"/>
    </row>
    <row r="94" spans="1:28" ht="14.25" x14ac:dyDescent="0.2">
      <c r="A94" s="24"/>
      <c r="B94" s="25"/>
      <c r="C94" s="23" t="s">
        <v>419</v>
      </c>
      <c r="D94" s="26"/>
      <c r="E94" s="10"/>
      <c r="F94" s="28">
        <f>Source!AN34</f>
        <v>2.42</v>
      </c>
      <c r="G94" s="27" t="str">
        <f>Source!DF34</f>
        <v/>
      </c>
      <c r="H94" s="28">
        <f>ROUND(Source!AE34*Source!I34, 2)</f>
        <v>1.06</v>
      </c>
      <c r="I94" s="27"/>
      <c r="J94" s="27">
        <f>IF(Source!BS34&lt;&gt; 0, Source!BS34, 1)</f>
        <v>33.08</v>
      </c>
      <c r="K94" s="28">
        <f>Source!R34</f>
        <v>35.22</v>
      </c>
      <c r="L94" s="29"/>
      <c r="R94">
        <f>H94</f>
        <v>1.06</v>
      </c>
    </row>
    <row r="95" spans="1:28" ht="14.25" x14ac:dyDescent="0.2">
      <c r="A95" s="24"/>
      <c r="B95" s="25"/>
      <c r="C95" s="23" t="s">
        <v>425</v>
      </c>
      <c r="D95" s="26"/>
      <c r="E95" s="10"/>
      <c r="F95" s="28">
        <f>Source!AL34</f>
        <v>32.71</v>
      </c>
      <c r="G95" s="27" t="str">
        <f>Source!DD34</f>
        <v/>
      </c>
      <c r="H95" s="28">
        <f>ROUND(Source!AC34*Source!I34, 2)</f>
        <v>14.39</v>
      </c>
      <c r="I95" s="27"/>
      <c r="J95" s="27">
        <f>IF(Source!BC34&lt;&gt; 0, Source!BC34, 1)</f>
        <v>12.49</v>
      </c>
      <c r="K95" s="28">
        <f>Source!P34</f>
        <v>179.76</v>
      </c>
      <c r="L95" s="29"/>
    </row>
    <row r="96" spans="1:28" ht="14.25" x14ac:dyDescent="0.2">
      <c r="A96" s="24"/>
      <c r="B96" s="25"/>
      <c r="C96" s="23" t="s">
        <v>420</v>
      </c>
      <c r="D96" s="26" t="s">
        <v>421</v>
      </c>
      <c r="E96" s="10">
        <f>Source!BZ34</f>
        <v>97</v>
      </c>
      <c r="F96" s="31"/>
      <c r="G96" s="27"/>
      <c r="H96" s="28">
        <f>SUM(S90:S98)</f>
        <v>78.69</v>
      </c>
      <c r="I96" s="32"/>
      <c r="J96" s="23">
        <f>Source!AT34</f>
        <v>97</v>
      </c>
      <c r="K96" s="28">
        <f>SUM(T90:T98)</f>
        <v>2603.17</v>
      </c>
      <c r="L96" s="29"/>
    </row>
    <row r="97" spans="1:28" ht="14.25" x14ac:dyDescent="0.2">
      <c r="A97" s="24"/>
      <c r="B97" s="25"/>
      <c r="C97" s="23" t="s">
        <v>422</v>
      </c>
      <c r="D97" s="26" t="s">
        <v>421</v>
      </c>
      <c r="E97" s="10">
        <f>Source!CA34</f>
        <v>51</v>
      </c>
      <c r="F97" s="31"/>
      <c r="G97" s="27"/>
      <c r="H97" s="28">
        <f>SUM(U90:U98)</f>
        <v>41.37</v>
      </c>
      <c r="I97" s="32"/>
      <c r="J97" s="23">
        <f>Source!AU34</f>
        <v>51</v>
      </c>
      <c r="K97" s="28">
        <f>SUM(V90:V98)</f>
        <v>1368.68</v>
      </c>
      <c r="L97" s="29"/>
    </row>
    <row r="98" spans="1:28" ht="14.25" x14ac:dyDescent="0.2">
      <c r="A98" s="36"/>
      <c r="B98" s="37"/>
      <c r="C98" s="38" t="s">
        <v>423</v>
      </c>
      <c r="D98" s="39" t="s">
        <v>424</v>
      </c>
      <c r="E98" s="40">
        <f>Source!AQ34</f>
        <v>20.239999999999998</v>
      </c>
      <c r="F98" s="41"/>
      <c r="G98" s="42" t="str">
        <f>Source!DI34</f>
        <v/>
      </c>
      <c r="H98" s="41"/>
      <c r="I98" s="42"/>
      <c r="J98" s="42"/>
      <c r="K98" s="41"/>
      <c r="L98" s="43">
        <f>Source!U34</f>
        <v>8.9055999999999997</v>
      </c>
    </row>
    <row r="99" spans="1:28" ht="15" x14ac:dyDescent="0.25">
      <c r="G99" s="87">
        <f>ROUND(Source!AC34*Source!I34, 2)+ROUND(Source!AF34*Source!I34, 2)+ROUND((((Source!ET34)-(Source!EU34))+Source!AE34)*Source!I34, 2)+SUM(H96:H97)</f>
        <v>252.51</v>
      </c>
      <c r="H99" s="87"/>
      <c r="J99" s="87">
        <f>Source!O34+SUM(K96:K97)</f>
        <v>7134.08</v>
      </c>
      <c r="K99" s="87"/>
      <c r="L99" s="35">
        <f>Source!U34</f>
        <v>8.9055999999999997</v>
      </c>
      <c r="O99" s="34">
        <f>G99</f>
        <v>252.51</v>
      </c>
      <c r="P99" s="34">
        <f>J99</f>
        <v>7134.08</v>
      </c>
      <c r="Q99" s="34">
        <f>L99</f>
        <v>8.9055999999999997</v>
      </c>
      <c r="W99">
        <f>IF(Source!BI34&lt;=1,G99, 0)</f>
        <v>0</v>
      </c>
      <c r="X99">
        <f>IF(Source!BI34=2,G99, 0)</f>
        <v>252.51</v>
      </c>
      <c r="Y99">
        <f>IF(Source!BI34=3,G99, 0)</f>
        <v>0</v>
      </c>
      <c r="Z99">
        <f>IF(Source!BI34=4,G99, 0)</f>
        <v>0</v>
      </c>
    </row>
    <row r="100" spans="1:28" ht="42.75" x14ac:dyDescent="0.2">
      <c r="A100" s="24" t="str">
        <f>Source!E35</f>
        <v>10</v>
      </c>
      <c r="B100" s="25" t="str">
        <f>Source!F35</f>
        <v>м08-02-145-4</v>
      </c>
      <c r="C100" s="23" t="str">
        <f>Source!G35</f>
        <v>Кабель до 35 кВ, прокладываемый по дну канала без креплений, масса 1 м кабеля до 6 кг</v>
      </c>
      <c r="D100" s="26" t="str">
        <f>Source!H35</f>
        <v>100 М КАБЕЛЯ</v>
      </c>
      <c r="E100" s="10">
        <f>Source!I35</f>
        <v>0.8</v>
      </c>
      <c r="F100" s="28">
        <f>IF(Source!AK35&lt;&gt; 0, Source!AK35,Source!AL35 + Source!AM35 + Source!AO35)</f>
        <v>207.19</v>
      </c>
      <c r="G100" s="27"/>
      <c r="H100" s="28"/>
      <c r="I100" s="27" t="str">
        <f>Source!BO35</f>
        <v>м08-02-145-4</v>
      </c>
      <c r="J100" s="27"/>
      <c r="K100" s="28"/>
      <c r="L100" s="29"/>
      <c r="S100">
        <f>ROUND((Source!FX35/100)*((ROUND(Source!AF35*Source!I35, 2)+ROUND(Source!AE35*Source!I35, 2))), 2)</f>
        <v>73.319999999999993</v>
      </c>
      <c r="T100">
        <f>Source!X35</f>
        <v>2425.31</v>
      </c>
      <c r="U100">
        <f>ROUND((Source!FY35/100)*((ROUND(Source!AF35*Source!I35, 2)+ROUND(Source!AE35*Source!I35, 2))), 2)</f>
        <v>38.549999999999997</v>
      </c>
      <c r="V100">
        <f>Source!Y35</f>
        <v>1275.1600000000001</v>
      </c>
    </row>
    <row r="101" spans="1:28" x14ac:dyDescent="0.2">
      <c r="C101" s="30" t="str">
        <f>"Объем: "&amp;Source!I35&amp;"=80/"&amp;"100"</f>
        <v>Объем: 0,8=80/100</v>
      </c>
    </row>
    <row r="102" spans="1:28" ht="14.25" x14ac:dyDescent="0.2">
      <c r="A102" s="24"/>
      <c r="B102" s="25"/>
      <c r="C102" s="23" t="s">
        <v>418</v>
      </c>
      <c r="D102" s="26"/>
      <c r="E102" s="10"/>
      <c r="F102" s="28">
        <f>Source!AO35</f>
        <v>92.06</v>
      </c>
      <c r="G102" s="27" t="str">
        <f>Source!DG35</f>
        <v/>
      </c>
      <c r="H102" s="28">
        <f>ROUND(Source!AF35*Source!I35, 2)</f>
        <v>73.650000000000006</v>
      </c>
      <c r="I102" s="27"/>
      <c r="J102" s="27">
        <f>IF(Source!BA35&lt;&gt; 0, Source!BA35, 1)</f>
        <v>33.08</v>
      </c>
      <c r="K102" s="28">
        <f>Source!S35</f>
        <v>2436.2800000000002</v>
      </c>
      <c r="L102" s="29"/>
      <c r="R102">
        <f>H102</f>
        <v>73.650000000000006</v>
      </c>
    </row>
    <row r="103" spans="1:28" ht="14.25" x14ac:dyDescent="0.2">
      <c r="A103" s="24"/>
      <c r="B103" s="25"/>
      <c r="C103" s="23" t="s">
        <v>207</v>
      </c>
      <c r="D103" s="26"/>
      <c r="E103" s="10"/>
      <c r="F103" s="28">
        <f>Source!AM35</f>
        <v>65.3</v>
      </c>
      <c r="G103" s="27" t="str">
        <f>Source!DE35</f>
        <v/>
      </c>
      <c r="H103" s="28">
        <f>ROUND((((Source!ET35)-(Source!EU35))+Source!AE35)*Source!I35, 2)</f>
        <v>52.24</v>
      </c>
      <c r="I103" s="27"/>
      <c r="J103" s="27">
        <f>IF(Source!BB35&lt;&gt; 0, Source!BB35, 1)</f>
        <v>9.94</v>
      </c>
      <c r="K103" s="28">
        <f>Source!Q35</f>
        <v>519.27</v>
      </c>
      <c r="L103" s="29"/>
    </row>
    <row r="104" spans="1:28" ht="14.25" x14ac:dyDescent="0.2">
      <c r="A104" s="24"/>
      <c r="B104" s="25"/>
      <c r="C104" s="23" t="s">
        <v>419</v>
      </c>
      <c r="D104" s="26"/>
      <c r="E104" s="10"/>
      <c r="F104" s="28">
        <f>Source!AN35</f>
        <v>2.42</v>
      </c>
      <c r="G104" s="27" t="str">
        <f>Source!DF35</f>
        <v/>
      </c>
      <c r="H104" s="28">
        <f>ROUND(Source!AE35*Source!I35, 2)</f>
        <v>1.94</v>
      </c>
      <c r="I104" s="27"/>
      <c r="J104" s="27">
        <f>IF(Source!BS35&lt;&gt; 0, Source!BS35, 1)</f>
        <v>33.08</v>
      </c>
      <c r="K104" s="28">
        <f>Source!R35</f>
        <v>64.040000000000006</v>
      </c>
      <c r="L104" s="29"/>
      <c r="R104">
        <f>H104</f>
        <v>1.94</v>
      </c>
    </row>
    <row r="105" spans="1:28" ht="14.25" x14ac:dyDescent="0.2">
      <c r="A105" s="24"/>
      <c r="B105" s="25"/>
      <c r="C105" s="23" t="s">
        <v>425</v>
      </c>
      <c r="D105" s="26"/>
      <c r="E105" s="10"/>
      <c r="F105" s="28">
        <f>Source!AL35</f>
        <v>49.83</v>
      </c>
      <c r="G105" s="27" t="str">
        <f>Source!DD35</f>
        <v/>
      </c>
      <c r="H105" s="28">
        <f>ROUND(Source!AC35*Source!I35, 2)</f>
        <v>39.86</v>
      </c>
      <c r="I105" s="27"/>
      <c r="J105" s="27">
        <f>IF(Source!BC35&lt;&gt; 0, Source!BC35, 1)</f>
        <v>10.82</v>
      </c>
      <c r="K105" s="28">
        <f>Source!P35</f>
        <v>431.33</v>
      </c>
      <c r="L105" s="29"/>
    </row>
    <row r="106" spans="1:28" ht="14.25" x14ac:dyDescent="0.2">
      <c r="A106" s="24"/>
      <c r="B106" s="25"/>
      <c r="C106" s="23" t="s">
        <v>420</v>
      </c>
      <c r="D106" s="26" t="s">
        <v>421</v>
      </c>
      <c r="E106" s="10">
        <f>Source!BZ35</f>
        <v>97</v>
      </c>
      <c r="F106" s="31"/>
      <c r="G106" s="27"/>
      <c r="H106" s="28">
        <f>SUM(S100:S109)</f>
        <v>73.319999999999993</v>
      </c>
      <c r="I106" s="32"/>
      <c r="J106" s="23">
        <f>Source!AT35</f>
        <v>97</v>
      </c>
      <c r="K106" s="28">
        <f>SUM(T100:T109)</f>
        <v>2425.31</v>
      </c>
      <c r="L106" s="29"/>
    </row>
    <row r="107" spans="1:28" ht="14.25" x14ac:dyDescent="0.2">
      <c r="A107" s="24"/>
      <c r="B107" s="25"/>
      <c r="C107" s="23" t="s">
        <v>422</v>
      </c>
      <c r="D107" s="26" t="s">
        <v>421</v>
      </c>
      <c r="E107" s="10">
        <f>Source!CA35</f>
        <v>51</v>
      </c>
      <c r="F107" s="31"/>
      <c r="G107" s="27"/>
      <c r="H107" s="28">
        <f>SUM(U100:U109)</f>
        <v>38.549999999999997</v>
      </c>
      <c r="I107" s="32"/>
      <c r="J107" s="23">
        <f>Source!AU35</f>
        <v>51</v>
      </c>
      <c r="K107" s="28">
        <f>SUM(V100:V109)</f>
        <v>1275.1600000000001</v>
      </c>
      <c r="L107" s="29"/>
    </row>
    <row r="108" spans="1:28" ht="14.25" x14ac:dyDescent="0.2">
      <c r="A108" s="24"/>
      <c r="B108" s="25"/>
      <c r="C108" s="23" t="s">
        <v>423</v>
      </c>
      <c r="D108" s="26" t="s">
        <v>424</v>
      </c>
      <c r="E108" s="10">
        <f>Source!AQ35</f>
        <v>10.24</v>
      </c>
      <c r="F108" s="28"/>
      <c r="G108" s="27" t="str">
        <f>Source!DI35</f>
        <v/>
      </c>
      <c r="H108" s="28"/>
      <c r="I108" s="27"/>
      <c r="J108" s="27"/>
      <c r="K108" s="28"/>
      <c r="L108" s="33">
        <f>Source!U35</f>
        <v>8.1920000000000002</v>
      </c>
    </row>
    <row r="109" spans="1:28" ht="28.5" x14ac:dyDescent="0.2">
      <c r="A109" s="52" t="str">
        <f>Source!E36</f>
        <v>10,1</v>
      </c>
      <c r="B109" s="52" t="str">
        <f>Source!F36</f>
        <v>506-1362</v>
      </c>
      <c r="C109" s="52" t="str">
        <f>Source!G36</f>
        <v>Припои оловянно-свинцовые бессурьмянистые марки ПОС30</v>
      </c>
      <c r="D109" s="53" t="str">
        <f>Source!H36</f>
        <v>кг</v>
      </c>
      <c r="E109" s="54">
        <f>Source!I36</f>
        <v>-0.4</v>
      </c>
      <c r="F109" s="55">
        <f>Source!AK36</f>
        <v>71.45</v>
      </c>
      <c r="G109" s="56" t="s">
        <v>3</v>
      </c>
      <c r="H109" s="55">
        <f>ROUND(Source!AC36*Source!I36, 2)+ROUND((((Source!ET36)-(Source!EU36))+Source!AE36)*Source!I36, 2)+ROUND(Source!AF36*Source!I36, 2)</f>
        <v>-28.58</v>
      </c>
      <c r="I109" s="53"/>
      <c r="J109" s="53">
        <f>IF(Source!BC36&lt;&gt; 0, Source!BC36, 1)</f>
        <v>11.19</v>
      </c>
      <c r="K109" s="55">
        <f>Source!O36</f>
        <v>-319.81</v>
      </c>
      <c r="L109" s="55"/>
      <c r="S109">
        <f>ROUND((Source!FX36/100)*((ROUND(Source!AF36*Source!I36, 2)+ROUND(Source!AE36*Source!I36, 2))), 2)</f>
        <v>0</v>
      </c>
      <c r="T109">
        <f>Source!X36</f>
        <v>0</v>
      </c>
      <c r="U109">
        <f>ROUND((Source!FY36/100)*((ROUND(Source!AF36*Source!I36, 2)+ROUND(Source!AE36*Source!I36, 2))), 2)</f>
        <v>0</v>
      </c>
      <c r="V109">
        <f>Source!Y36</f>
        <v>0</v>
      </c>
      <c r="Y109">
        <f>IF(Source!BI36=3,H109, 0)</f>
        <v>0</v>
      </c>
      <c r="AA109">
        <f>ROUND(Source!AC36*Source!I36, 2)+ROUND((((Source!ET36)-(Source!EU36))+Source!AE36)*Source!I36, 2)+ROUND(Source!AF36*Source!I36, 2)</f>
        <v>-28.58</v>
      </c>
      <c r="AB109">
        <f>Source!O36</f>
        <v>-319.81</v>
      </c>
    </row>
    <row r="110" spans="1:28" ht="15" x14ac:dyDescent="0.25">
      <c r="G110" s="87">
        <f>ROUND(Source!AC35*Source!I35, 2)+ROUND(Source!AF35*Source!I35, 2)+ROUND((((Source!ET35)-(Source!EU35))+Source!AE35)*Source!I35, 2)+SUM(H106:H107)+SUM(AA109:AA109)</f>
        <v>249.04000000000002</v>
      </c>
      <c r="H110" s="87"/>
      <c r="J110" s="87">
        <f>Source!O35+SUM(K106:K107)+SUM(AB109:AB109)</f>
        <v>6767.54</v>
      </c>
      <c r="K110" s="87"/>
      <c r="L110" s="35">
        <f>Source!U35</f>
        <v>8.1920000000000002</v>
      </c>
      <c r="O110" s="34">
        <f>G110</f>
        <v>249.04000000000002</v>
      </c>
      <c r="P110" s="34">
        <f>J110</f>
        <v>6767.54</v>
      </c>
      <c r="Q110" s="34">
        <f>L110</f>
        <v>8.1920000000000002</v>
      </c>
      <c r="W110">
        <f>IF(Source!BI35&lt;=1,G110, 0)</f>
        <v>0</v>
      </c>
      <c r="X110">
        <f>IF(Source!BI35=2,G110, 0)</f>
        <v>249.04000000000002</v>
      </c>
      <c r="Y110">
        <f>IF(Source!BI35=3,G110, 0)</f>
        <v>0</v>
      </c>
      <c r="Z110">
        <f>IF(Source!BI35=4,G110, 0)</f>
        <v>0</v>
      </c>
    </row>
    <row r="111" spans="1:28" ht="42.75" x14ac:dyDescent="0.2">
      <c r="A111" s="24" t="str">
        <f>Source!E37</f>
        <v>11</v>
      </c>
      <c r="B111" s="25" t="str">
        <f>Source!F37</f>
        <v>м08-02-155-1</v>
      </c>
      <c r="C111" s="23" t="str">
        <f>Source!G37</f>
        <v>Герметизация проходов при вводе кабелей во взрывоопасные помещения уплотнительной массой</v>
      </c>
      <c r="D111" s="26" t="str">
        <f>Source!H37</f>
        <v>1 проход кабеля</v>
      </c>
      <c r="E111" s="10">
        <f>Source!I37</f>
        <v>8</v>
      </c>
      <c r="F111" s="28">
        <f>IF(Source!AK37&lt;&gt; 0, Source!AK37,Source!AL37 + Source!AM37 + Source!AO37)</f>
        <v>18.68</v>
      </c>
      <c r="G111" s="27"/>
      <c r="H111" s="28"/>
      <c r="I111" s="27" t="str">
        <f>Source!BO37</f>
        <v>м08-02-155-1</v>
      </c>
      <c r="J111" s="27"/>
      <c r="K111" s="28"/>
      <c r="L111" s="29"/>
      <c r="S111">
        <f>ROUND((Source!FX37/100)*((ROUND(Source!AF37*Source!I37, 2)+ROUND(Source!AE37*Source!I37, 2))), 2)</f>
        <v>26.54</v>
      </c>
      <c r="T111">
        <f>Source!X37</f>
        <v>877.92</v>
      </c>
      <c r="U111">
        <f>ROUND((Source!FY37/100)*((ROUND(Source!AF37*Source!I37, 2)+ROUND(Source!AE37*Source!I37, 2))), 2)</f>
        <v>13.95</v>
      </c>
      <c r="V111">
        <f>Source!Y37</f>
        <v>461.59</v>
      </c>
    </row>
    <row r="112" spans="1:28" ht="14.25" x14ac:dyDescent="0.2">
      <c r="A112" s="24"/>
      <c r="B112" s="25"/>
      <c r="C112" s="23" t="s">
        <v>418</v>
      </c>
      <c r="D112" s="26"/>
      <c r="E112" s="10"/>
      <c r="F112" s="28">
        <f>Source!AO37</f>
        <v>3.42</v>
      </c>
      <c r="G112" s="27" t="str">
        <f>Source!DG37</f>
        <v/>
      </c>
      <c r="H112" s="28">
        <f>ROUND(Source!AF37*Source!I37, 2)</f>
        <v>27.36</v>
      </c>
      <c r="I112" s="27"/>
      <c r="J112" s="27">
        <f>IF(Source!BA37&lt;&gt; 0, Source!BA37, 1)</f>
        <v>33.08</v>
      </c>
      <c r="K112" s="28">
        <f>Source!S37</f>
        <v>905.07</v>
      </c>
      <c r="L112" s="29"/>
      <c r="R112">
        <f>H112</f>
        <v>27.36</v>
      </c>
    </row>
    <row r="113" spans="1:28" ht="14.25" x14ac:dyDescent="0.2">
      <c r="A113" s="24"/>
      <c r="B113" s="25"/>
      <c r="C113" s="23" t="s">
        <v>425</v>
      </c>
      <c r="D113" s="26"/>
      <c r="E113" s="10"/>
      <c r="F113" s="28">
        <f>Source!AL37</f>
        <v>15.26</v>
      </c>
      <c r="G113" s="27" t="str">
        <f>Source!DD37</f>
        <v/>
      </c>
      <c r="H113" s="28">
        <f>ROUND(Source!AC37*Source!I37, 2)</f>
        <v>122.08</v>
      </c>
      <c r="I113" s="27"/>
      <c r="J113" s="27">
        <f>IF(Source!BC37&lt;&gt; 0, Source!BC37, 1)</f>
        <v>7.49</v>
      </c>
      <c r="K113" s="28">
        <f>Source!P37</f>
        <v>914.38</v>
      </c>
      <c r="L113" s="29"/>
    </row>
    <row r="114" spans="1:28" ht="14.25" x14ac:dyDescent="0.2">
      <c r="A114" s="24"/>
      <c r="B114" s="25"/>
      <c r="C114" s="23" t="s">
        <v>420</v>
      </c>
      <c r="D114" s="26" t="s">
        <v>421</v>
      </c>
      <c r="E114" s="10">
        <f>Source!BZ37</f>
        <v>97</v>
      </c>
      <c r="F114" s="31"/>
      <c r="G114" s="27"/>
      <c r="H114" s="28">
        <f>SUM(S111:S120)</f>
        <v>26.54</v>
      </c>
      <c r="I114" s="32"/>
      <c r="J114" s="23">
        <f>Source!AT37</f>
        <v>97</v>
      </c>
      <c r="K114" s="28">
        <f>SUM(T111:T120)</f>
        <v>877.92</v>
      </c>
      <c r="L114" s="29"/>
    </row>
    <row r="115" spans="1:28" ht="14.25" x14ac:dyDescent="0.2">
      <c r="A115" s="24"/>
      <c r="B115" s="25"/>
      <c r="C115" s="23" t="s">
        <v>422</v>
      </c>
      <c r="D115" s="26" t="s">
        <v>421</v>
      </c>
      <c r="E115" s="10">
        <f>Source!CA37</f>
        <v>51</v>
      </c>
      <c r="F115" s="31"/>
      <c r="G115" s="27"/>
      <c r="H115" s="28">
        <f>SUM(U111:U120)</f>
        <v>13.95</v>
      </c>
      <c r="I115" s="32"/>
      <c r="J115" s="23">
        <f>Source!AU37</f>
        <v>51</v>
      </c>
      <c r="K115" s="28">
        <f>SUM(V111:V120)</f>
        <v>461.59</v>
      </c>
      <c r="L115" s="29"/>
    </row>
    <row r="116" spans="1:28" ht="14.25" x14ac:dyDescent="0.2">
      <c r="A116" s="24"/>
      <c r="B116" s="25"/>
      <c r="C116" s="23" t="s">
        <v>423</v>
      </c>
      <c r="D116" s="26" t="s">
        <v>424</v>
      </c>
      <c r="E116" s="10">
        <f>Source!AQ37</f>
        <v>0.38</v>
      </c>
      <c r="F116" s="28"/>
      <c r="G116" s="27" t="str">
        <f>Source!DI37</f>
        <v/>
      </c>
      <c r="H116" s="28"/>
      <c r="I116" s="27"/>
      <c r="J116" s="27"/>
      <c r="K116" s="28"/>
      <c r="L116" s="33">
        <f>Source!U37</f>
        <v>3.04</v>
      </c>
    </row>
    <row r="117" spans="1:28" ht="14.25" x14ac:dyDescent="0.2">
      <c r="A117" s="47" t="str">
        <f>Source!E38</f>
        <v>11,1</v>
      </c>
      <c r="B117" s="47" t="str">
        <f>Source!F38</f>
        <v>101-1705</v>
      </c>
      <c r="C117" s="47" t="str">
        <f>Source!G38</f>
        <v>Пакля пропитанная</v>
      </c>
      <c r="D117" s="49" t="str">
        <f>Source!H38</f>
        <v>кг</v>
      </c>
      <c r="E117" s="48">
        <f>Source!I38</f>
        <v>-1.2</v>
      </c>
      <c r="F117" s="50">
        <f>Source!AK38</f>
        <v>9.0399999999999991</v>
      </c>
      <c r="G117" s="51" t="s">
        <v>3</v>
      </c>
      <c r="H117" s="50">
        <f>ROUND(Source!AC38*Source!I38, 2)+ROUND((((Source!ET38)-(Source!EU38))+Source!AE38)*Source!I38, 2)+ROUND(Source!AF38*Source!I38, 2)</f>
        <v>-10.85</v>
      </c>
      <c r="I117" s="49"/>
      <c r="J117" s="49">
        <f>IF(Source!BC38&lt;&gt; 0, Source!BC38, 1)</f>
        <v>10.31</v>
      </c>
      <c r="K117" s="50">
        <f>Source!O38</f>
        <v>-111.84</v>
      </c>
      <c r="L117" s="50"/>
      <c r="S117">
        <f>ROUND((Source!FX38/100)*((ROUND(Source!AF38*Source!I38, 2)+ROUND(Source!AE38*Source!I38, 2))), 2)</f>
        <v>0</v>
      </c>
      <c r="T117">
        <f>Source!X38</f>
        <v>0</v>
      </c>
      <c r="U117">
        <f>ROUND((Source!FY38/100)*((ROUND(Source!AF38*Source!I38, 2)+ROUND(Source!AE38*Source!I38, 2))), 2)</f>
        <v>0</v>
      </c>
      <c r="V117">
        <f>Source!Y38</f>
        <v>0</v>
      </c>
      <c r="Y117">
        <f>IF(Source!BI38=3,H117, 0)</f>
        <v>0</v>
      </c>
      <c r="AA117">
        <f>ROUND(Source!AC38*Source!I38, 2)+ROUND((((Source!ET38)-(Source!EU38))+Source!AE38)*Source!I38, 2)+ROUND(Source!AF38*Source!I38, 2)</f>
        <v>-10.85</v>
      </c>
      <c r="AB117">
        <f>Source!O38</f>
        <v>-111.84</v>
      </c>
    </row>
    <row r="118" spans="1:28" ht="14.25" x14ac:dyDescent="0.2">
      <c r="A118" s="47" t="str">
        <f>Source!E39</f>
        <v>11,2</v>
      </c>
      <c r="B118" s="47" t="str">
        <f>Source!F39</f>
        <v>509-0900</v>
      </c>
      <c r="C118" s="47" t="str">
        <f>Source!G39</f>
        <v>Уплотнительный состав</v>
      </c>
      <c r="D118" s="49" t="str">
        <f>Source!H39</f>
        <v>кг</v>
      </c>
      <c r="E118" s="48">
        <f>Source!I39</f>
        <v>-5.76</v>
      </c>
      <c r="F118" s="50">
        <f>Source!AK39</f>
        <v>16.940000000000001</v>
      </c>
      <c r="G118" s="51" t="s">
        <v>3</v>
      </c>
      <c r="H118" s="50">
        <f>ROUND(Source!AC39*Source!I39, 2)+ROUND((((Source!ET39)-(Source!EU39))+Source!AE39)*Source!I39, 2)+ROUND(Source!AF39*Source!I39, 2)</f>
        <v>-97.57</v>
      </c>
      <c r="I118" s="49"/>
      <c r="J118" s="49">
        <f>IF(Source!BC39&lt;&gt; 0, Source!BC39, 1)</f>
        <v>5.94</v>
      </c>
      <c r="K118" s="50">
        <f>Source!O39</f>
        <v>-579.59</v>
      </c>
      <c r="L118" s="50"/>
      <c r="S118">
        <f>ROUND((Source!FX39/100)*((ROUND(Source!AF39*Source!I39, 2)+ROUND(Source!AE39*Source!I39, 2))), 2)</f>
        <v>0</v>
      </c>
      <c r="T118">
        <f>Source!X39</f>
        <v>0</v>
      </c>
      <c r="U118">
        <f>ROUND((Source!FY39/100)*((ROUND(Source!AF39*Source!I39, 2)+ROUND(Source!AE39*Source!I39, 2))), 2)</f>
        <v>0</v>
      </c>
      <c r="V118">
        <f>Source!Y39</f>
        <v>0</v>
      </c>
      <c r="Y118">
        <f>IF(Source!BI39=3,H118, 0)</f>
        <v>0</v>
      </c>
      <c r="AA118">
        <f>ROUND(Source!AC39*Source!I39, 2)+ROUND((((Source!ET39)-(Source!EU39))+Source!AE39)*Source!I39, 2)+ROUND(Source!AF39*Source!I39, 2)</f>
        <v>-97.57</v>
      </c>
      <c r="AB118">
        <f>Source!O39</f>
        <v>-579.59</v>
      </c>
    </row>
    <row r="119" spans="1:28" ht="28.5" x14ac:dyDescent="0.2">
      <c r="A119" s="47" t="str">
        <f>Source!E40</f>
        <v>11,3</v>
      </c>
      <c r="B119" s="47" t="str">
        <f>Source!F40</f>
        <v>509-0988</v>
      </c>
      <c r="C119" s="47" t="str">
        <f>Source!G40</f>
        <v>Шнур асбестовый общего назначения марки ШАОН диаметром 3-5 мм</v>
      </c>
      <c r="D119" s="49" t="str">
        <f>Source!H40</f>
        <v>т</v>
      </c>
      <c r="E119" s="48">
        <f>Source!I40</f>
        <v>-4.8000000000000001E-4</v>
      </c>
      <c r="F119" s="50">
        <f>Source!AK40</f>
        <v>27354.25</v>
      </c>
      <c r="G119" s="51" t="s">
        <v>3</v>
      </c>
      <c r="H119" s="50">
        <f>ROUND(Source!AC40*Source!I40, 2)+ROUND((((Source!ET40)-(Source!EU40))+Source!AE40)*Source!I40, 2)+ROUND(Source!AF40*Source!I40, 2)</f>
        <v>-13.13</v>
      </c>
      <c r="I119" s="49"/>
      <c r="J119" s="49">
        <f>IF(Source!BC40&lt;&gt; 0, Source!BC40, 1)</f>
        <v>15.67</v>
      </c>
      <c r="K119" s="50">
        <f>Source!O40</f>
        <v>-205.75</v>
      </c>
      <c r="L119" s="50"/>
      <c r="S119">
        <f>ROUND((Source!FX40/100)*((ROUND(Source!AF40*Source!I40, 2)+ROUND(Source!AE40*Source!I40, 2))), 2)</f>
        <v>0</v>
      </c>
      <c r="T119">
        <f>Source!X40</f>
        <v>0</v>
      </c>
      <c r="U119">
        <f>ROUND((Source!FY40/100)*((ROUND(Source!AF40*Source!I40, 2)+ROUND(Source!AE40*Source!I40, 2))), 2)</f>
        <v>0</v>
      </c>
      <c r="V119">
        <f>Source!Y40</f>
        <v>0</v>
      </c>
      <c r="Y119">
        <f>IF(Source!BI40=3,H119, 0)</f>
        <v>0</v>
      </c>
      <c r="AA119">
        <f>ROUND(Source!AC40*Source!I40, 2)+ROUND((((Source!ET40)-(Source!EU40))+Source!AE40)*Source!I40, 2)+ROUND(Source!AF40*Source!I40, 2)</f>
        <v>-13.13</v>
      </c>
      <c r="AB119">
        <f>Source!O40</f>
        <v>-205.75</v>
      </c>
    </row>
    <row r="120" spans="1:28" ht="28.5" x14ac:dyDescent="0.2">
      <c r="A120" s="52" t="str">
        <f>Source!E41</f>
        <v>11,4</v>
      </c>
      <c r="B120" s="52" t="str">
        <f>Source!F41</f>
        <v>999-9950</v>
      </c>
      <c r="C120" s="52" t="str">
        <f>Source!G41</f>
        <v>Вспомогательные ненормируемые материалы (2% от ОЗП)</v>
      </c>
      <c r="D120" s="53" t="str">
        <f>Source!H41</f>
        <v>РУБ</v>
      </c>
      <c r="E120" s="54">
        <f>Source!I41</f>
        <v>-0.56000000000000005</v>
      </c>
      <c r="F120" s="55">
        <f>Source!AK41</f>
        <v>1</v>
      </c>
      <c r="G120" s="56" t="s">
        <v>3</v>
      </c>
      <c r="H120" s="55">
        <f>ROUND(Source!AC41*Source!I41, 2)+ROUND((((Source!ET41)-(Source!EU41))+Source!AE41)*Source!I41, 2)+ROUND(Source!AF41*Source!I41, 2)</f>
        <v>-0.56000000000000005</v>
      </c>
      <c r="I120" s="53"/>
      <c r="J120" s="53">
        <f>IF(Source!BC41&lt;&gt; 0, Source!BC41, 1)</f>
        <v>1</v>
      </c>
      <c r="K120" s="55">
        <f>Source!O41</f>
        <v>-0.56000000000000005</v>
      </c>
      <c r="L120" s="55"/>
      <c r="S120">
        <f>ROUND((Source!FX41/100)*((ROUND(Source!AF41*Source!I41, 2)+ROUND(Source!AE41*Source!I41, 2))), 2)</f>
        <v>0</v>
      </c>
      <c r="T120">
        <f>Source!X41</f>
        <v>0</v>
      </c>
      <c r="U120">
        <f>ROUND((Source!FY41/100)*((ROUND(Source!AF41*Source!I41, 2)+ROUND(Source!AE41*Source!I41, 2))), 2)</f>
        <v>0</v>
      </c>
      <c r="V120">
        <f>Source!Y41</f>
        <v>0</v>
      </c>
      <c r="Y120">
        <f>IF(Source!BI41=3,H120, 0)</f>
        <v>0</v>
      </c>
      <c r="AA120">
        <f>ROUND(Source!AC41*Source!I41, 2)+ROUND((((Source!ET41)-(Source!EU41))+Source!AE41)*Source!I41, 2)+ROUND(Source!AF41*Source!I41, 2)</f>
        <v>-0.56000000000000005</v>
      </c>
      <c r="AB120">
        <f>Source!O41</f>
        <v>-0.56000000000000005</v>
      </c>
    </row>
    <row r="121" spans="1:28" ht="15" x14ac:dyDescent="0.25">
      <c r="G121" s="87">
        <f>ROUND(Source!AC37*Source!I37, 2)+ROUND(Source!AF37*Source!I37, 2)+ROUND((((Source!ET37)-(Source!EU37))+Source!AE37)*Source!I37, 2)+SUM(H114:H115)+SUM(AA117:AA120)</f>
        <v>67.820000000000022</v>
      </c>
      <c r="H121" s="87"/>
      <c r="J121" s="87">
        <f>Source!O37+SUM(K114:K115)+SUM(AB117:AB120)</f>
        <v>2261.2200000000003</v>
      </c>
      <c r="K121" s="87"/>
      <c r="L121" s="35">
        <f>Source!U37</f>
        <v>3.04</v>
      </c>
      <c r="O121" s="34">
        <f>G121</f>
        <v>67.820000000000022</v>
      </c>
      <c r="P121" s="34">
        <f>J121</f>
        <v>2261.2200000000003</v>
      </c>
      <c r="Q121" s="34">
        <f>L121</f>
        <v>3.04</v>
      </c>
      <c r="W121">
        <f>IF(Source!BI37&lt;=1,G121, 0)</f>
        <v>0</v>
      </c>
      <c r="X121">
        <f>IF(Source!BI37=2,G121, 0)</f>
        <v>67.820000000000022</v>
      </c>
      <c r="Y121">
        <f>IF(Source!BI37=3,G121, 0)</f>
        <v>0</v>
      </c>
      <c r="Z121">
        <f>IF(Source!BI37=4,G121, 0)</f>
        <v>0</v>
      </c>
    </row>
    <row r="122" spans="1:28" ht="57" x14ac:dyDescent="0.2">
      <c r="A122" s="24" t="str">
        <f>Source!E42</f>
        <v>12</v>
      </c>
      <c r="B122" s="25" t="str">
        <f>Source!F42</f>
        <v>м08-02-158-17</v>
      </c>
      <c r="C122" s="23" t="str">
        <f>Source!G42</f>
        <v>Заделка концевая сухая для 3-4-жильного кабеля с пластмассовой и резиновой изоляцией напряжением до 1 кВ, сечение одной жилы до 240 мм2</v>
      </c>
      <c r="D122" s="26" t="str">
        <f>Source!H42</f>
        <v>1  ШТ.</v>
      </c>
      <c r="E122" s="10">
        <f>Source!I42</f>
        <v>4</v>
      </c>
      <c r="F122" s="28">
        <f>IF(Source!AK42&lt;&gt; 0, Source!AK42,Source!AL42 + Source!AM42 + Source!AO42)</f>
        <v>19.559999999999999</v>
      </c>
      <c r="G122" s="27"/>
      <c r="H122" s="28"/>
      <c r="I122" s="27" t="str">
        <f>Source!BO42</f>
        <v>м08-02-158-17</v>
      </c>
      <c r="J122" s="27"/>
      <c r="K122" s="28"/>
      <c r="L122" s="29"/>
      <c r="S122">
        <f>ROUND((Source!FX42/100)*((ROUND(Source!AF42*Source!I42, 2)+ROUND(Source!AE42*Source!I42, 2))), 2)</f>
        <v>47.22</v>
      </c>
      <c r="T122">
        <f>Source!X42</f>
        <v>1562.03</v>
      </c>
      <c r="U122">
        <f>ROUND((Source!FY42/100)*((ROUND(Source!AF42*Source!I42, 2)+ROUND(Source!AE42*Source!I42, 2))), 2)</f>
        <v>24.83</v>
      </c>
      <c r="V122">
        <f>Source!Y42</f>
        <v>821.27</v>
      </c>
    </row>
    <row r="123" spans="1:28" ht="14.25" x14ac:dyDescent="0.2">
      <c r="A123" s="24"/>
      <c r="B123" s="25"/>
      <c r="C123" s="23" t="s">
        <v>418</v>
      </c>
      <c r="D123" s="26"/>
      <c r="E123" s="10"/>
      <c r="F123" s="28">
        <f>Source!AO42</f>
        <v>12.05</v>
      </c>
      <c r="G123" s="27" t="str">
        <f>Source!DG42</f>
        <v/>
      </c>
      <c r="H123" s="28">
        <f>ROUND(Source!AF42*Source!I42, 2)</f>
        <v>48.2</v>
      </c>
      <c r="I123" s="27"/>
      <c r="J123" s="27">
        <f>IF(Source!BA42&lt;&gt; 0, Source!BA42, 1)</f>
        <v>33.08</v>
      </c>
      <c r="K123" s="28">
        <f>Source!S42</f>
        <v>1594.46</v>
      </c>
      <c r="L123" s="29"/>
      <c r="R123">
        <f>H123</f>
        <v>48.2</v>
      </c>
    </row>
    <row r="124" spans="1:28" ht="14.25" x14ac:dyDescent="0.2">
      <c r="A124" s="24"/>
      <c r="B124" s="25"/>
      <c r="C124" s="23" t="s">
        <v>207</v>
      </c>
      <c r="D124" s="26"/>
      <c r="E124" s="10"/>
      <c r="F124" s="28">
        <f>Source!AM42</f>
        <v>2.2999999999999998</v>
      </c>
      <c r="G124" s="27" t="str">
        <f>Source!DE42</f>
        <v/>
      </c>
      <c r="H124" s="28">
        <f>ROUND((((Source!ET42)-(Source!EU42))+Source!AE42)*Source!I42, 2)</f>
        <v>9.1999999999999993</v>
      </c>
      <c r="I124" s="27"/>
      <c r="J124" s="27">
        <f>IF(Source!BB42&lt;&gt; 0, Source!BB42, 1)</f>
        <v>11.92</v>
      </c>
      <c r="K124" s="28">
        <f>Source!Q42</f>
        <v>109.66</v>
      </c>
      <c r="L124" s="29"/>
    </row>
    <row r="125" spans="1:28" ht="14.25" x14ac:dyDescent="0.2">
      <c r="A125" s="24"/>
      <c r="B125" s="25"/>
      <c r="C125" s="23" t="s">
        <v>419</v>
      </c>
      <c r="D125" s="26"/>
      <c r="E125" s="10"/>
      <c r="F125" s="28">
        <f>Source!AN42</f>
        <v>0.12</v>
      </c>
      <c r="G125" s="27" t="str">
        <f>Source!DF42</f>
        <v/>
      </c>
      <c r="H125" s="28">
        <f>ROUND(Source!AE42*Source!I42, 2)</f>
        <v>0.48</v>
      </c>
      <c r="I125" s="27"/>
      <c r="J125" s="27">
        <f>IF(Source!BS42&lt;&gt; 0, Source!BS42, 1)</f>
        <v>33.08</v>
      </c>
      <c r="K125" s="28">
        <f>Source!R42</f>
        <v>15.88</v>
      </c>
      <c r="L125" s="29"/>
      <c r="R125">
        <f>H125</f>
        <v>0.48</v>
      </c>
    </row>
    <row r="126" spans="1:28" ht="14.25" x14ac:dyDescent="0.2">
      <c r="A126" s="24"/>
      <c r="B126" s="25"/>
      <c r="C126" s="23" t="s">
        <v>425</v>
      </c>
      <c r="D126" s="26"/>
      <c r="E126" s="10"/>
      <c r="F126" s="28">
        <f>Source!AL42</f>
        <v>5.21</v>
      </c>
      <c r="G126" s="27" t="str">
        <f>Source!DD42</f>
        <v/>
      </c>
      <c r="H126" s="28">
        <f>ROUND(Source!AC42*Source!I42, 2)</f>
        <v>20.84</v>
      </c>
      <c r="I126" s="27"/>
      <c r="J126" s="27">
        <f>IF(Source!BC42&lt;&gt; 0, Source!BC42, 1)</f>
        <v>20.71</v>
      </c>
      <c r="K126" s="28">
        <f>Source!P42</f>
        <v>431.6</v>
      </c>
      <c r="L126" s="29"/>
    </row>
    <row r="127" spans="1:28" ht="14.25" x14ac:dyDescent="0.2">
      <c r="A127" s="24"/>
      <c r="B127" s="25"/>
      <c r="C127" s="23" t="s">
        <v>420</v>
      </c>
      <c r="D127" s="26" t="s">
        <v>421</v>
      </c>
      <c r="E127" s="10">
        <f>Source!BZ42</f>
        <v>97</v>
      </c>
      <c r="F127" s="31"/>
      <c r="G127" s="27"/>
      <c r="H127" s="28">
        <f>SUM(S122:S130)</f>
        <v>47.22</v>
      </c>
      <c r="I127" s="32"/>
      <c r="J127" s="23">
        <f>Source!AT42</f>
        <v>97</v>
      </c>
      <c r="K127" s="28">
        <f>SUM(T122:T130)</f>
        <v>1562.03</v>
      </c>
      <c r="L127" s="29"/>
    </row>
    <row r="128" spans="1:28" ht="14.25" x14ac:dyDescent="0.2">
      <c r="A128" s="24"/>
      <c r="B128" s="25"/>
      <c r="C128" s="23" t="s">
        <v>422</v>
      </c>
      <c r="D128" s="26" t="s">
        <v>421</v>
      </c>
      <c r="E128" s="10">
        <f>Source!CA42</f>
        <v>51</v>
      </c>
      <c r="F128" s="31"/>
      <c r="G128" s="27"/>
      <c r="H128" s="28">
        <f>SUM(U122:U130)</f>
        <v>24.83</v>
      </c>
      <c r="I128" s="32"/>
      <c r="J128" s="23">
        <f>Source!AU42</f>
        <v>51</v>
      </c>
      <c r="K128" s="28">
        <f>SUM(V122:V130)</f>
        <v>821.27</v>
      </c>
      <c r="L128" s="29"/>
    </row>
    <row r="129" spans="1:28" ht="14.25" x14ac:dyDescent="0.2">
      <c r="A129" s="24"/>
      <c r="B129" s="25"/>
      <c r="C129" s="23" t="s">
        <v>423</v>
      </c>
      <c r="D129" s="26" t="s">
        <v>424</v>
      </c>
      <c r="E129" s="10">
        <f>Source!AQ42</f>
        <v>1.34</v>
      </c>
      <c r="F129" s="28"/>
      <c r="G129" s="27" t="str">
        <f>Source!DI42</f>
        <v/>
      </c>
      <c r="H129" s="28"/>
      <c r="I129" s="27"/>
      <c r="J129" s="27"/>
      <c r="K129" s="28"/>
      <c r="L129" s="33">
        <f>Source!U42</f>
        <v>5.36</v>
      </c>
    </row>
    <row r="130" spans="1:28" ht="14.25" x14ac:dyDescent="0.2">
      <c r="A130" s="52" t="str">
        <f>Source!E43</f>
        <v>12,1</v>
      </c>
      <c r="B130" s="52" t="str">
        <f>Source!F43</f>
        <v>101-0069</v>
      </c>
      <c r="C130" s="52" t="str">
        <f>Source!G43</f>
        <v>Бензин авиационный Б-70</v>
      </c>
      <c r="D130" s="53" t="str">
        <f>Source!H43</f>
        <v>т</v>
      </c>
      <c r="E130" s="54">
        <f>Source!I43</f>
        <v>-3.2000000000000002E-3</v>
      </c>
      <c r="F130" s="55">
        <f>Source!AK43</f>
        <v>4488</v>
      </c>
      <c r="G130" s="56" t="s">
        <v>3</v>
      </c>
      <c r="H130" s="55">
        <f>ROUND(Source!AC43*Source!I43, 2)+ROUND((((Source!ET43)-(Source!EU43))+Source!AE43)*Source!I43, 2)+ROUND(Source!AF43*Source!I43, 2)</f>
        <v>-14.36</v>
      </c>
      <c r="I130" s="53"/>
      <c r="J130" s="53">
        <f>IF(Source!BC43&lt;&gt; 0, Source!BC43, 1)</f>
        <v>24.85</v>
      </c>
      <c r="K130" s="55">
        <f>Source!O43</f>
        <v>-356.89</v>
      </c>
      <c r="L130" s="55"/>
      <c r="S130">
        <f>ROUND((Source!FX43/100)*((ROUND(Source!AF43*Source!I43, 2)+ROUND(Source!AE43*Source!I43, 2))), 2)</f>
        <v>0</v>
      </c>
      <c r="T130">
        <f>Source!X43</f>
        <v>0</v>
      </c>
      <c r="U130">
        <f>ROUND((Source!FY43/100)*((ROUND(Source!AF43*Source!I43, 2)+ROUND(Source!AE43*Source!I43, 2))), 2)</f>
        <v>0</v>
      </c>
      <c r="V130">
        <f>Source!Y43</f>
        <v>0</v>
      </c>
      <c r="Y130">
        <f>IF(Source!BI43=3,H130, 0)</f>
        <v>0</v>
      </c>
      <c r="AA130">
        <f>ROUND(Source!AC43*Source!I43, 2)+ROUND((((Source!ET43)-(Source!EU43))+Source!AE43)*Source!I43, 2)+ROUND(Source!AF43*Source!I43, 2)</f>
        <v>-14.36</v>
      </c>
      <c r="AB130">
        <f>Source!O43</f>
        <v>-356.89</v>
      </c>
    </row>
    <row r="131" spans="1:28" ht="15" x14ac:dyDescent="0.25">
      <c r="G131" s="87">
        <f>ROUND(Source!AC42*Source!I42, 2)+ROUND(Source!AF42*Source!I42, 2)+ROUND((((Source!ET42)-(Source!EU42))+Source!AE42)*Source!I42, 2)+SUM(H127:H128)+SUM(AA130:AA130)</f>
        <v>135.93</v>
      </c>
      <c r="H131" s="87"/>
      <c r="J131" s="87">
        <f>Source!O42+SUM(K127:K128)+SUM(AB130:AB130)</f>
        <v>4162.13</v>
      </c>
      <c r="K131" s="87"/>
      <c r="L131" s="35">
        <f>Source!U42</f>
        <v>5.36</v>
      </c>
      <c r="O131" s="34">
        <f>G131</f>
        <v>135.93</v>
      </c>
      <c r="P131" s="34">
        <f>J131</f>
        <v>4162.13</v>
      </c>
      <c r="Q131" s="34">
        <f>L131</f>
        <v>5.36</v>
      </c>
      <c r="W131">
        <f>IF(Source!BI42&lt;=1,G131, 0)</f>
        <v>0</v>
      </c>
      <c r="X131">
        <f>IF(Source!BI42=2,G131, 0)</f>
        <v>135.93</v>
      </c>
      <c r="Y131">
        <f>IF(Source!BI42=3,G131, 0)</f>
        <v>0</v>
      </c>
      <c r="Z131">
        <f>IF(Source!BI42=4,G131, 0)</f>
        <v>0</v>
      </c>
    </row>
    <row r="132" spans="1:28" ht="42.75" x14ac:dyDescent="0.2">
      <c r="A132" s="24" t="str">
        <f>Source!E44</f>
        <v>13</v>
      </c>
      <c r="B132" s="25" t="str">
        <f>Source!F44</f>
        <v>м08-02-144-7</v>
      </c>
      <c r="C132" s="23" t="str">
        <f>Source!G44</f>
        <v>Присоединение к зажимам жил проводов или кабелей сечением до 240 мм2</v>
      </c>
      <c r="D132" s="26" t="str">
        <f>Source!H44</f>
        <v>100 шт.</v>
      </c>
      <c r="E132" s="10">
        <f>Source!I44</f>
        <v>0.32</v>
      </c>
      <c r="F132" s="28">
        <f>IF(Source!AK44&lt;&gt; 0, Source!AK44,Source!AL44 + Source!AM44 + Source!AO44)</f>
        <v>278.77</v>
      </c>
      <c r="G132" s="27"/>
      <c r="H132" s="28"/>
      <c r="I132" s="27" t="str">
        <f>Source!BO44</f>
        <v>м08-02-144-7</v>
      </c>
      <c r="J132" s="27"/>
      <c r="K132" s="28"/>
      <c r="L132" s="29"/>
      <c r="S132">
        <f>ROUND((Source!FX44/100)*((ROUND(Source!AF44*Source!I44, 2)+ROUND(Source!AE44*Source!I44, 2))), 2)</f>
        <v>84.84</v>
      </c>
      <c r="T132">
        <f>Source!X44</f>
        <v>2806.25</v>
      </c>
      <c r="U132">
        <f>ROUND((Source!FY44/100)*((ROUND(Source!AF44*Source!I44, 2)+ROUND(Source!AE44*Source!I44, 2))), 2)</f>
        <v>44.6</v>
      </c>
      <c r="V132">
        <f>Source!Y44</f>
        <v>1475.45</v>
      </c>
    </row>
    <row r="133" spans="1:28" x14ac:dyDescent="0.2">
      <c r="C133" s="30" t="str">
        <f>"Объем: "&amp;Source!I44&amp;"=32/"&amp;"100"</f>
        <v>Объем: 0,32=32/100</v>
      </c>
    </row>
    <row r="134" spans="1:28" ht="14.25" x14ac:dyDescent="0.2">
      <c r="A134" s="24"/>
      <c r="B134" s="25"/>
      <c r="C134" s="23" t="s">
        <v>418</v>
      </c>
      <c r="D134" s="26"/>
      <c r="E134" s="10"/>
      <c r="F134" s="28">
        <f>Source!AO44</f>
        <v>273.3</v>
      </c>
      <c r="G134" s="27" t="str">
        <f>Source!DG44</f>
        <v/>
      </c>
      <c r="H134" s="28">
        <f>ROUND(Source!AF44*Source!I44, 2)</f>
        <v>87.46</v>
      </c>
      <c r="I134" s="27"/>
      <c r="J134" s="27">
        <f>IF(Source!BA44&lt;&gt; 0, Source!BA44, 1)</f>
        <v>33.08</v>
      </c>
      <c r="K134" s="28">
        <f>Source!S44</f>
        <v>2893.04</v>
      </c>
      <c r="L134" s="29"/>
      <c r="R134">
        <f>H134</f>
        <v>87.46</v>
      </c>
    </row>
    <row r="135" spans="1:28" ht="14.25" x14ac:dyDescent="0.2">
      <c r="A135" s="24"/>
      <c r="B135" s="25"/>
      <c r="C135" s="23" t="s">
        <v>425</v>
      </c>
      <c r="D135" s="26"/>
      <c r="E135" s="10"/>
      <c r="F135" s="28">
        <f>Source!AL44</f>
        <v>5.47</v>
      </c>
      <c r="G135" s="27" t="str">
        <f>Source!DD44</f>
        <v/>
      </c>
      <c r="H135" s="28">
        <f>ROUND(Source!AC44*Source!I44, 2)</f>
        <v>1.75</v>
      </c>
      <c r="I135" s="27"/>
      <c r="J135" s="27">
        <f>IF(Source!BC44&lt;&gt; 0, Source!BC44, 1)</f>
        <v>33.049999999999997</v>
      </c>
      <c r="K135" s="28">
        <f>Source!P44</f>
        <v>57.85</v>
      </c>
      <c r="L135" s="29"/>
    </row>
    <row r="136" spans="1:28" ht="14.25" x14ac:dyDescent="0.2">
      <c r="A136" s="24"/>
      <c r="B136" s="25"/>
      <c r="C136" s="23" t="s">
        <v>420</v>
      </c>
      <c r="D136" s="26" t="s">
        <v>421</v>
      </c>
      <c r="E136" s="10">
        <f>Source!BZ44</f>
        <v>97</v>
      </c>
      <c r="F136" s="31"/>
      <c r="G136" s="27"/>
      <c r="H136" s="28">
        <f>SUM(S132:S138)</f>
        <v>84.84</v>
      </c>
      <c r="I136" s="32"/>
      <c r="J136" s="23">
        <f>Source!AT44</f>
        <v>97</v>
      </c>
      <c r="K136" s="28">
        <f>SUM(T132:T138)</f>
        <v>2806.25</v>
      </c>
      <c r="L136" s="29"/>
    </row>
    <row r="137" spans="1:28" ht="14.25" x14ac:dyDescent="0.2">
      <c r="A137" s="24"/>
      <c r="B137" s="25"/>
      <c r="C137" s="23" t="s">
        <v>422</v>
      </c>
      <c r="D137" s="26" t="s">
        <v>421</v>
      </c>
      <c r="E137" s="10">
        <f>Source!CA44</f>
        <v>51</v>
      </c>
      <c r="F137" s="31"/>
      <c r="G137" s="27"/>
      <c r="H137" s="28">
        <f>SUM(U132:U138)</f>
        <v>44.6</v>
      </c>
      <c r="I137" s="32"/>
      <c r="J137" s="23">
        <f>Source!AU44</f>
        <v>51</v>
      </c>
      <c r="K137" s="28">
        <f>SUM(V132:V138)</f>
        <v>1475.45</v>
      </c>
      <c r="L137" s="29"/>
    </row>
    <row r="138" spans="1:28" ht="14.25" x14ac:dyDescent="0.2">
      <c r="A138" s="36"/>
      <c r="B138" s="37"/>
      <c r="C138" s="38" t="s">
        <v>423</v>
      </c>
      <c r="D138" s="39" t="s">
        <v>424</v>
      </c>
      <c r="E138" s="40">
        <f>Source!AQ44</f>
        <v>30.4</v>
      </c>
      <c r="F138" s="41"/>
      <c r="G138" s="42" t="str">
        <f>Source!DI44</f>
        <v/>
      </c>
      <c r="H138" s="41"/>
      <c r="I138" s="42"/>
      <c r="J138" s="42"/>
      <c r="K138" s="41"/>
      <c r="L138" s="43">
        <f>Source!U44</f>
        <v>9.7279999999999998</v>
      </c>
    </row>
    <row r="139" spans="1:28" ht="15" x14ac:dyDescent="0.25">
      <c r="G139" s="87">
        <f>ROUND(Source!AC44*Source!I44, 2)+ROUND(Source!AF44*Source!I44, 2)+ROUND((((Source!ET44)-(Source!EU44))+Source!AE44)*Source!I44, 2)+SUM(H136:H137)</f>
        <v>218.64999999999998</v>
      </c>
      <c r="H139" s="87"/>
      <c r="J139" s="87">
        <f>Source!O44+SUM(K136:K137)</f>
        <v>7232.59</v>
      </c>
      <c r="K139" s="87"/>
      <c r="L139" s="35">
        <f>Source!U44</f>
        <v>9.7279999999999998</v>
      </c>
      <c r="O139" s="34">
        <f>G139</f>
        <v>218.64999999999998</v>
      </c>
      <c r="P139" s="34">
        <f>J139</f>
        <v>7232.59</v>
      </c>
      <c r="Q139" s="34">
        <f>L139</f>
        <v>9.7279999999999998</v>
      </c>
      <c r="W139">
        <f>IF(Source!BI44&lt;=1,G139, 0)</f>
        <v>0</v>
      </c>
      <c r="X139">
        <f>IF(Source!BI44=2,G139, 0)</f>
        <v>218.64999999999998</v>
      </c>
      <c r="Y139">
        <f>IF(Source!BI44=3,G139, 0)</f>
        <v>0</v>
      </c>
      <c r="Z139">
        <f>IF(Source!BI44=4,G139, 0)</f>
        <v>0</v>
      </c>
    </row>
    <row r="140" spans="1:28" ht="28.5" x14ac:dyDescent="0.2">
      <c r="A140" s="24" t="str">
        <f>Source!E45</f>
        <v>14</v>
      </c>
      <c r="B140" s="25" t="str">
        <f>Source!F45</f>
        <v>26-02-022-1</v>
      </c>
      <c r="C140" s="23" t="str">
        <f>Source!G45</f>
        <v>Огнезащитное покрытие кабелей составом «КЛ-1»</v>
      </c>
      <c r="D140" s="26" t="str">
        <f>Source!H45</f>
        <v>100 м2</v>
      </c>
      <c r="E140" s="10">
        <f>Source!I45</f>
        <v>0.1</v>
      </c>
      <c r="F140" s="28">
        <f>IF(Source!AK45&lt;&gt; 0, Source!AK45,Source!AL45 + Source!AM45 + Source!AO45)</f>
        <v>11967.82</v>
      </c>
      <c r="G140" s="27"/>
      <c r="H140" s="28"/>
      <c r="I140" s="27" t="str">
        <f>Source!BO45</f>
        <v>26-02-022-1</v>
      </c>
      <c r="J140" s="27"/>
      <c r="K140" s="28"/>
      <c r="L140" s="29"/>
      <c r="S140">
        <f>ROUND((Source!FX45/100)*((ROUND(Source!AF45*Source!I45, 2)+ROUND(Source!AE45*Source!I45, 2))), 2)</f>
        <v>51.33</v>
      </c>
      <c r="T140">
        <f>Source!X45</f>
        <v>1698.21</v>
      </c>
      <c r="U140">
        <f>ROUND((Source!FY45/100)*((ROUND(Source!AF45*Source!I45, 2)+ROUND(Source!AE45*Source!I45, 2))), 2)</f>
        <v>29.11</v>
      </c>
      <c r="V140">
        <f>Source!Y45</f>
        <v>962.9</v>
      </c>
    </row>
    <row r="141" spans="1:28" x14ac:dyDescent="0.2">
      <c r="C141" s="30" t="str">
        <f>"Объем: "&amp;Source!I45&amp;"=10/"&amp;"100"</f>
        <v>Объем: 0,1=10/100</v>
      </c>
    </row>
    <row r="142" spans="1:28" ht="14.25" x14ac:dyDescent="0.2">
      <c r="A142" s="24"/>
      <c r="B142" s="25"/>
      <c r="C142" s="23" t="s">
        <v>418</v>
      </c>
      <c r="D142" s="26"/>
      <c r="E142" s="10"/>
      <c r="F142" s="28">
        <f>Source!AO45</f>
        <v>529.24</v>
      </c>
      <c r="G142" s="27" t="str">
        <f>Source!DG45</f>
        <v/>
      </c>
      <c r="H142" s="28">
        <f>ROUND(Source!AF45*Source!I45, 2)</f>
        <v>52.92</v>
      </c>
      <c r="I142" s="27"/>
      <c r="J142" s="27">
        <f>IF(Source!BA45&lt;&gt; 0, Source!BA45, 1)</f>
        <v>33.08</v>
      </c>
      <c r="K142" s="28">
        <f>Source!S45</f>
        <v>1750.73</v>
      </c>
      <c r="L142" s="29"/>
      <c r="R142">
        <f>H142</f>
        <v>52.92</v>
      </c>
    </row>
    <row r="143" spans="1:28" ht="14.25" x14ac:dyDescent="0.2">
      <c r="A143" s="24"/>
      <c r="B143" s="25"/>
      <c r="C143" s="23" t="s">
        <v>207</v>
      </c>
      <c r="D143" s="26"/>
      <c r="E143" s="10"/>
      <c r="F143" s="28">
        <f>Source!AM45</f>
        <v>213.36</v>
      </c>
      <c r="G143" s="27" t="str">
        <f>Source!DE45</f>
        <v/>
      </c>
      <c r="H143" s="28">
        <f>ROUND((((Source!ET45)-(Source!EU45))+Source!AE45)*Source!I45, 2)</f>
        <v>21.34</v>
      </c>
      <c r="I143" s="27"/>
      <c r="J143" s="27">
        <f>IF(Source!BB45&lt;&gt; 0, Source!BB45, 1)</f>
        <v>6.75</v>
      </c>
      <c r="K143" s="28">
        <f>Source!Q45</f>
        <v>144.02000000000001</v>
      </c>
      <c r="L143" s="29"/>
    </row>
    <row r="144" spans="1:28" ht="14.25" x14ac:dyDescent="0.2">
      <c r="A144" s="24"/>
      <c r="B144" s="25"/>
      <c r="C144" s="23" t="s">
        <v>425</v>
      </c>
      <c r="D144" s="26"/>
      <c r="E144" s="10"/>
      <c r="F144" s="28">
        <f>Source!AL45</f>
        <v>11225.22</v>
      </c>
      <c r="G144" s="27" t="str">
        <f>Source!DD45</f>
        <v/>
      </c>
      <c r="H144" s="28">
        <f>ROUND(Source!AC45*Source!I45, 2)</f>
        <v>1122.52</v>
      </c>
      <c r="I144" s="27"/>
      <c r="J144" s="27">
        <f>IF(Source!BC45&lt;&gt; 0, Source!BC45, 1)</f>
        <v>7.51</v>
      </c>
      <c r="K144" s="28">
        <f>Source!P45</f>
        <v>8430.14</v>
      </c>
      <c r="L144" s="29"/>
    </row>
    <row r="145" spans="1:26" ht="14.25" x14ac:dyDescent="0.2">
      <c r="A145" s="24"/>
      <c r="B145" s="25"/>
      <c r="C145" s="23" t="s">
        <v>420</v>
      </c>
      <c r="D145" s="26" t="s">
        <v>421</v>
      </c>
      <c r="E145" s="10">
        <f>Source!BZ45</f>
        <v>97</v>
      </c>
      <c r="F145" s="31"/>
      <c r="G145" s="27"/>
      <c r="H145" s="28">
        <f>SUM(S140:S147)</f>
        <v>51.33</v>
      </c>
      <c r="I145" s="32"/>
      <c r="J145" s="23">
        <f>Source!AT45</f>
        <v>97</v>
      </c>
      <c r="K145" s="28">
        <f>SUM(T140:T147)</f>
        <v>1698.21</v>
      </c>
      <c r="L145" s="29"/>
    </row>
    <row r="146" spans="1:26" ht="14.25" x14ac:dyDescent="0.2">
      <c r="A146" s="24"/>
      <c r="B146" s="25"/>
      <c r="C146" s="23" t="s">
        <v>422</v>
      </c>
      <c r="D146" s="26" t="s">
        <v>421</v>
      </c>
      <c r="E146" s="10">
        <f>Source!CA45</f>
        <v>55</v>
      </c>
      <c r="F146" s="31"/>
      <c r="G146" s="27"/>
      <c r="H146" s="28">
        <f>SUM(U140:U147)</f>
        <v>29.11</v>
      </c>
      <c r="I146" s="32"/>
      <c r="J146" s="23">
        <f>Source!AU45</f>
        <v>55</v>
      </c>
      <c r="K146" s="28">
        <f>SUM(V140:V147)</f>
        <v>962.9</v>
      </c>
      <c r="L146" s="29"/>
    </row>
    <row r="147" spans="1:26" ht="14.25" x14ac:dyDescent="0.2">
      <c r="A147" s="36"/>
      <c r="B147" s="37"/>
      <c r="C147" s="38" t="s">
        <v>423</v>
      </c>
      <c r="D147" s="39" t="s">
        <v>424</v>
      </c>
      <c r="E147" s="40">
        <f>Source!AQ45</f>
        <v>62.41</v>
      </c>
      <c r="F147" s="41"/>
      <c r="G147" s="42" t="str">
        <f>Source!DI45</f>
        <v/>
      </c>
      <c r="H147" s="41"/>
      <c r="I147" s="42"/>
      <c r="J147" s="42"/>
      <c r="K147" s="41"/>
      <c r="L147" s="43">
        <f>Source!U45</f>
        <v>6.2409999999999997</v>
      </c>
    </row>
    <row r="148" spans="1:26" ht="15" x14ac:dyDescent="0.25">
      <c r="G148" s="87">
        <f>ROUND(Source!AC45*Source!I45, 2)+ROUND(Source!AF45*Source!I45, 2)+ROUND((((Source!ET45)-(Source!EU45))+Source!AE45)*Source!I45, 2)+SUM(H145:H146)</f>
        <v>1277.22</v>
      </c>
      <c r="H148" s="87"/>
      <c r="J148" s="87">
        <f>Source!O45+SUM(K145:K146)</f>
        <v>12986</v>
      </c>
      <c r="K148" s="87"/>
      <c r="L148" s="35">
        <f>Source!U45</f>
        <v>6.2409999999999997</v>
      </c>
      <c r="O148" s="34">
        <f>G148</f>
        <v>1277.22</v>
      </c>
      <c r="P148" s="34">
        <f>J148</f>
        <v>12986</v>
      </c>
      <c r="Q148" s="34">
        <f>L148</f>
        <v>6.2409999999999997</v>
      </c>
      <c r="W148">
        <f>IF(Source!BI45&lt;=1,G148, 0)</f>
        <v>1277.22</v>
      </c>
      <c r="X148">
        <f>IF(Source!BI45=2,G148, 0)</f>
        <v>0</v>
      </c>
      <c r="Y148">
        <f>IF(Source!BI45=3,G148, 0)</f>
        <v>0</v>
      </c>
      <c r="Z148">
        <f>IF(Source!BI45=4,G148, 0)</f>
        <v>0</v>
      </c>
    </row>
    <row r="149" spans="1:26" ht="42.75" x14ac:dyDescent="0.2">
      <c r="A149" s="24" t="str">
        <f>Source!E46</f>
        <v>15</v>
      </c>
      <c r="B149" s="25" t="str">
        <f>Source!F46</f>
        <v>п01-12-027-1</v>
      </c>
      <c r="C149" s="23" t="str">
        <f>Source!G46</f>
        <v>Испытание кабеля силового длиной до 500 м напряжением до 10 кВ</v>
      </c>
      <c r="D149" s="26" t="str">
        <f>Source!H46</f>
        <v>1 испытание</v>
      </c>
      <c r="E149" s="10">
        <f>Source!I46</f>
        <v>2</v>
      </c>
      <c r="F149" s="28">
        <f>IF(Source!AK46&lt;&gt; 0, Source!AK46,Source!AL46 + Source!AM46 + Source!AO46)</f>
        <v>52.07</v>
      </c>
      <c r="G149" s="27"/>
      <c r="H149" s="28"/>
      <c r="I149" s="27" t="str">
        <f>Source!BO46</f>
        <v/>
      </c>
      <c r="J149" s="27"/>
      <c r="K149" s="28"/>
      <c r="L149" s="29"/>
      <c r="S149">
        <f>ROUND((Source!FX46/100)*((ROUND(Source!AF46*Source!I46, 2)+ROUND(Source!AE46*Source!I46, 2))), 2)</f>
        <v>77.06</v>
      </c>
      <c r="T149">
        <f>Source!X46</f>
        <v>2549.2600000000002</v>
      </c>
      <c r="U149">
        <f>ROUND((Source!FY46/100)*((ROUND(Source!AF46*Source!I46, 2)+ROUND(Source!AE46*Source!I46, 2))), 2)</f>
        <v>37.49</v>
      </c>
      <c r="V149">
        <f>Source!Y46</f>
        <v>1240.18</v>
      </c>
    </row>
    <row r="150" spans="1:26" ht="14.25" x14ac:dyDescent="0.2">
      <c r="A150" s="24"/>
      <c r="B150" s="25"/>
      <c r="C150" s="23" t="s">
        <v>418</v>
      </c>
      <c r="D150" s="26"/>
      <c r="E150" s="10"/>
      <c r="F150" s="28">
        <f>Source!AO46</f>
        <v>52.07</v>
      </c>
      <c r="G150" s="27" t="str">
        <f>Source!DG46</f>
        <v/>
      </c>
      <c r="H150" s="28">
        <f>ROUND(Source!AF46*Source!I46, 2)</f>
        <v>104.14</v>
      </c>
      <c r="I150" s="27"/>
      <c r="J150" s="27">
        <f>IF(Source!BA46&lt;&gt; 0, Source!BA46, 1)</f>
        <v>33.08</v>
      </c>
      <c r="K150" s="28">
        <f>Source!S46</f>
        <v>3444.95</v>
      </c>
      <c r="L150" s="29"/>
      <c r="R150">
        <f>H150</f>
        <v>104.14</v>
      </c>
    </row>
    <row r="151" spans="1:26" ht="14.25" x14ac:dyDescent="0.2">
      <c r="A151" s="24"/>
      <c r="B151" s="25"/>
      <c r="C151" s="23" t="s">
        <v>420</v>
      </c>
      <c r="D151" s="26" t="s">
        <v>421</v>
      </c>
      <c r="E151" s="10">
        <f>Source!BZ46</f>
        <v>74</v>
      </c>
      <c r="F151" s="31"/>
      <c r="G151" s="27"/>
      <c r="H151" s="28">
        <f>SUM(S149:S153)</f>
        <v>77.06</v>
      </c>
      <c r="I151" s="32"/>
      <c r="J151" s="23">
        <f>Source!AT46</f>
        <v>74</v>
      </c>
      <c r="K151" s="28">
        <f>SUM(T149:T153)</f>
        <v>2549.2600000000002</v>
      </c>
      <c r="L151" s="29"/>
    </row>
    <row r="152" spans="1:26" ht="14.25" x14ac:dyDescent="0.2">
      <c r="A152" s="24"/>
      <c r="B152" s="25"/>
      <c r="C152" s="23" t="s">
        <v>422</v>
      </c>
      <c r="D152" s="26" t="s">
        <v>421</v>
      </c>
      <c r="E152" s="10">
        <f>Source!CA46</f>
        <v>36</v>
      </c>
      <c r="F152" s="31"/>
      <c r="G152" s="27"/>
      <c r="H152" s="28">
        <f>SUM(U149:U153)</f>
        <v>37.49</v>
      </c>
      <c r="I152" s="32"/>
      <c r="J152" s="23">
        <f>Source!AU46</f>
        <v>36</v>
      </c>
      <c r="K152" s="28">
        <f>SUM(V149:V153)</f>
        <v>1240.18</v>
      </c>
      <c r="L152" s="29"/>
    </row>
    <row r="153" spans="1:26" ht="14.25" x14ac:dyDescent="0.2">
      <c r="A153" s="36"/>
      <c r="B153" s="37"/>
      <c r="C153" s="38" t="s">
        <v>423</v>
      </c>
      <c r="D153" s="39" t="s">
        <v>424</v>
      </c>
      <c r="E153" s="40">
        <f>Source!AQ46</f>
        <v>4.8600000000000003</v>
      </c>
      <c r="F153" s="41"/>
      <c r="G153" s="42" t="str">
        <f>Source!DI46</f>
        <v/>
      </c>
      <c r="H153" s="41"/>
      <c r="I153" s="42"/>
      <c r="J153" s="42"/>
      <c r="K153" s="41"/>
      <c r="L153" s="43">
        <f>Source!U46</f>
        <v>9.7200000000000006</v>
      </c>
    </row>
    <row r="154" spans="1:26" ht="15" x14ac:dyDescent="0.25">
      <c r="G154" s="87">
        <f>ROUND(Source!AC46*Source!I46, 2)+ROUND(Source!AF46*Source!I46, 2)+ROUND((((Source!ET46)-(Source!EU46))+Source!AE46)*Source!I46, 2)+SUM(H151:H152)</f>
        <v>218.69</v>
      </c>
      <c r="H154" s="87"/>
      <c r="J154" s="87">
        <f>Source!O46+SUM(K151:K152)</f>
        <v>7234.39</v>
      </c>
      <c r="K154" s="87"/>
      <c r="L154" s="35">
        <f>Source!U46</f>
        <v>9.7200000000000006</v>
      </c>
      <c r="O154" s="34">
        <f>G154</f>
        <v>218.69</v>
      </c>
      <c r="P154" s="34">
        <f>J154</f>
        <v>7234.39</v>
      </c>
      <c r="Q154" s="34">
        <f>L154</f>
        <v>9.7200000000000006</v>
      </c>
      <c r="W154">
        <f>IF(Source!BI46&lt;=1,G154, 0)</f>
        <v>0</v>
      </c>
      <c r="X154">
        <f>IF(Source!BI46=2,G154, 0)</f>
        <v>0</v>
      </c>
      <c r="Y154">
        <f>IF(Source!BI46=3,G154, 0)</f>
        <v>0</v>
      </c>
      <c r="Z154">
        <f>IF(Source!BI46=4,G154, 0)</f>
        <v>218.69</v>
      </c>
    </row>
    <row r="155" spans="1:26" ht="27" x14ac:dyDescent="0.2">
      <c r="A155" s="24" t="str">
        <f>Source!E47</f>
        <v>16</v>
      </c>
      <c r="B155" s="25" t="str">
        <f>Source!F47</f>
        <v>ЕКС</v>
      </c>
      <c r="C155" s="23" t="s">
        <v>426</v>
      </c>
      <c r="D155" s="26" t="str">
        <f>Source!H47</f>
        <v>м</v>
      </c>
      <c r="E155" s="10">
        <f>Source!I47</f>
        <v>376</v>
      </c>
      <c r="F155" s="28">
        <f>IF(Source!AK47&lt;&gt; 0, Source!AK47,Source!AL47 + Source!AM47 + Source!AO47)</f>
        <v>1241.49</v>
      </c>
      <c r="G155" s="27"/>
      <c r="H155" s="28"/>
      <c r="I155" s="27" t="str">
        <f>Source!BO47</f>
        <v/>
      </c>
      <c r="J155" s="27"/>
      <c r="K155" s="28"/>
      <c r="L155" s="29"/>
      <c r="S155">
        <f>ROUND((Source!FX47/100)*((ROUND(Source!AF47*Source!I47, 2)+ROUND(Source!AE47*Source!I47, 2))), 2)</f>
        <v>0</v>
      </c>
      <c r="T155">
        <f>Source!X47</f>
        <v>0</v>
      </c>
      <c r="U155">
        <f>ROUND((Source!FY47/100)*((ROUND(Source!AF47*Source!I47, 2)+ROUND(Source!AE47*Source!I47, 2))), 2)</f>
        <v>0</v>
      </c>
      <c r="V155">
        <f>Source!Y47</f>
        <v>0</v>
      </c>
    </row>
    <row r="156" spans="1:26" ht="14.25" x14ac:dyDescent="0.2">
      <c r="A156" s="36"/>
      <c r="B156" s="37"/>
      <c r="C156" s="38" t="s">
        <v>425</v>
      </c>
      <c r="D156" s="39"/>
      <c r="E156" s="40"/>
      <c r="F156" s="41">
        <f>Source!AL47</f>
        <v>1241.49</v>
      </c>
      <c r="G156" s="42" t="str">
        <f>Source!DD47</f>
        <v/>
      </c>
      <c r="H156" s="41">
        <f>ROUND(Source!AC47*Source!I47, 2)</f>
        <v>466800.24</v>
      </c>
      <c r="I156" s="42"/>
      <c r="J156" s="42">
        <f>IF(Source!BC47&lt;&gt; 0, Source!BC47, 1)</f>
        <v>1</v>
      </c>
      <c r="K156" s="41">
        <f>Source!P47</f>
        <v>466800.24</v>
      </c>
      <c r="L156" s="46"/>
    </row>
    <row r="157" spans="1:26" ht="15" x14ac:dyDescent="0.25">
      <c r="G157" s="87">
        <f>ROUND(Source!AC47*Source!I47, 2)+ROUND(Source!AF47*Source!I47, 2)+ROUND((((Source!ET47)-(Source!EU47))+Source!AE47)*Source!I47, 2)</f>
        <v>466800.24</v>
      </c>
      <c r="H157" s="87"/>
      <c r="J157" s="87">
        <f>Source!O47</f>
        <v>466800.24</v>
      </c>
      <c r="K157" s="87"/>
      <c r="L157" s="35">
        <f>Source!U47</f>
        <v>0</v>
      </c>
      <c r="O157" s="34">
        <f>G157</f>
        <v>466800.24</v>
      </c>
      <c r="P157" s="34">
        <f>J157</f>
        <v>466800.24</v>
      </c>
      <c r="Q157" s="34">
        <f>L157</f>
        <v>0</v>
      </c>
      <c r="W157">
        <f>IF(Source!BI47&lt;=1,G157, 0)</f>
        <v>466800.24</v>
      </c>
      <c r="X157">
        <f>IF(Source!BI47=2,G157, 0)</f>
        <v>0</v>
      </c>
      <c r="Y157">
        <f>IF(Source!BI47=3,G157, 0)</f>
        <v>0</v>
      </c>
      <c r="Z157">
        <f>IF(Source!BI47=4,G157, 0)</f>
        <v>0</v>
      </c>
    </row>
    <row r="158" spans="1:26" ht="28.5" x14ac:dyDescent="0.2">
      <c r="A158" s="24" t="str">
        <f>Source!E48</f>
        <v>17</v>
      </c>
      <c r="B158" s="25" t="str">
        <f>Source!F48</f>
        <v>СТАНДАРТ</v>
      </c>
      <c r="C158" s="23" t="s">
        <v>427</v>
      </c>
      <c r="D158" s="26" t="str">
        <f>Source!H48</f>
        <v>ШТ</v>
      </c>
      <c r="E158" s="10">
        <f>Source!I48</f>
        <v>8</v>
      </c>
      <c r="F158" s="28">
        <f>IF(Source!AK48&lt;&gt; 0, Source!AK48,Source!AL48 + Source!AM48 + Source!AO48)</f>
        <v>2424.29</v>
      </c>
      <c r="G158" s="27"/>
      <c r="H158" s="28"/>
      <c r="I158" s="27" t="str">
        <f>Source!BO48</f>
        <v/>
      </c>
      <c r="J158" s="27"/>
      <c r="K158" s="28"/>
      <c r="L158" s="29"/>
      <c r="S158">
        <f>ROUND((Source!FX48/100)*((ROUND(Source!AF48*Source!I48, 2)+ROUND(Source!AE48*Source!I48, 2))), 2)</f>
        <v>0</v>
      </c>
      <c r="T158">
        <f>Source!X48</f>
        <v>0</v>
      </c>
      <c r="U158">
        <f>ROUND((Source!FY48/100)*((ROUND(Source!AF48*Source!I48, 2)+ROUND(Source!AE48*Source!I48, 2))), 2)</f>
        <v>0</v>
      </c>
      <c r="V158">
        <f>Source!Y48</f>
        <v>0</v>
      </c>
    </row>
    <row r="159" spans="1:26" ht="14.25" x14ac:dyDescent="0.2">
      <c r="A159" s="36"/>
      <c r="B159" s="37"/>
      <c r="C159" s="38" t="s">
        <v>425</v>
      </c>
      <c r="D159" s="39"/>
      <c r="E159" s="40"/>
      <c r="F159" s="41">
        <f>Source!AL48</f>
        <v>2424.29</v>
      </c>
      <c r="G159" s="42" t="str">
        <f>Source!DD48</f>
        <v/>
      </c>
      <c r="H159" s="41">
        <f>ROUND(Source!AC48*Source!I48, 2)</f>
        <v>19394.32</v>
      </c>
      <c r="I159" s="42"/>
      <c r="J159" s="42">
        <f>IF(Source!BC48&lt;&gt; 0, Source!BC48, 1)</f>
        <v>1</v>
      </c>
      <c r="K159" s="41">
        <f>Source!P48</f>
        <v>19394.32</v>
      </c>
      <c r="L159" s="46"/>
    </row>
    <row r="160" spans="1:26" ht="15" x14ac:dyDescent="0.25">
      <c r="G160" s="87">
        <f>ROUND(Source!AC48*Source!I48, 2)+ROUND(Source!AF48*Source!I48, 2)+ROUND((((Source!ET48)-(Source!EU48))+Source!AE48)*Source!I48, 2)</f>
        <v>19394.32</v>
      </c>
      <c r="H160" s="87"/>
      <c r="J160" s="87">
        <f>Source!O48</f>
        <v>19394.32</v>
      </c>
      <c r="K160" s="87"/>
      <c r="L160" s="35">
        <f>Source!U48</f>
        <v>0</v>
      </c>
      <c r="O160" s="34">
        <f>G160</f>
        <v>19394.32</v>
      </c>
      <c r="P160" s="34">
        <f>J160</f>
        <v>19394.32</v>
      </c>
      <c r="Q160" s="34">
        <f>L160</f>
        <v>0</v>
      </c>
      <c r="W160">
        <f>IF(Source!BI48&lt;=1,G160, 0)</f>
        <v>19394.32</v>
      </c>
      <c r="X160">
        <f>IF(Source!BI48=2,G160, 0)</f>
        <v>0</v>
      </c>
      <c r="Y160">
        <f>IF(Source!BI48=3,G160, 0)</f>
        <v>0</v>
      </c>
      <c r="Z160">
        <f>IF(Source!BI48=4,G160, 0)</f>
        <v>0</v>
      </c>
    </row>
    <row r="161" spans="1:26" ht="41.25" x14ac:dyDescent="0.2">
      <c r="A161" s="24" t="str">
        <f>Source!E49</f>
        <v>18</v>
      </c>
      <c r="B161" s="25" t="str">
        <f>Source!F49</f>
        <v>ЕКС</v>
      </c>
      <c r="C161" s="23" t="s">
        <v>428</v>
      </c>
      <c r="D161" s="26" t="str">
        <f>Source!H49</f>
        <v>ШТ</v>
      </c>
      <c r="E161" s="10">
        <f>Source!I49</f>
        <v>8</v>
      </c>
      <c r="F161" s="28">
        <f>IF(Source!AK49&lt;&gt; 0, Source!AK49,Source!AL49 + Source!AM49 + Source!AO49)</f>
        <v>400.84</v>
      </c>
      <c r="G161" s="27"/>
      <c r="H161" s="28"/>
      <c r="I161" s="27" t="str">
        <f>Source!BO49</f>
        <v/>
      </c>
      <c r="J161" s="27"/>
      <c r="K161" s="28"/>
      <c r="L161" s="29"/>
      <c r="S161">
        <f>ROUND((Source!FX49/100)*((ROUND(Source!AF49*Source!I49, 2)+ROUND(Source!AE49*Source!I49, 2))), 2)</f>
        <v>0</v>
      </c>
      <c r="T161">
        <f>Source!X49</f>
        <v>0</v>
      </c>
      <c r="U161">
        <f>ROUND((Source!FY49/100)*((ROUND(Source!AF49*Source!I49, 2)+ROUND(Source!AE49*Source!I49, 2))), 2)</f>
        <v>0</v>
      </c>
      <c r="V161">
        <f>Source!Y49</f>
        <v>0</v>
      </c>
    </row>
    <row r="162" spans="1:26" ht="14.25" x14ac:dyDescent="0.2">
      <c r="A162" s="36"/>
      <c r="B162" s="37"/>
      <c r="C162" s="38" t="s">
        <v>425</v>
      </c>
      <c r="D162" s="39"/>
      <c r="E162" s="40"/>
      <c r="F162" s="41">
        <f>Source!AL49</f>
        <v>400.84</v>
      </c>
      <c r="G162" s="42" t="str">
        <f>Source!DD49</f>
        <v/>
      </c>
      <c r="H162" s="41">
        <f>ROUND(Source!AC49*Source!I49, 2)</f>
        <v>3206.72</v>
      </c>
      <c r="I162" s="42"/>
      <c r="J162" s="42">
        <f>IF(Source!BC49&lt;&gt; 0, Source!BC49, 1)</f>
        <v>1</v>
      </c>
      <c r="K162" s="41">
        <f>Source!P49</f>
        <v>3206.72</v>
      </c>
      <c r="L162" s="46"/>
    </row>
    <row r="163" spans="1:26" ht="15" x14ac:dyDescent="0.25">
      <c r="G163" s="87">
        <f>ROUND(Source!AC49*Source!I49, 2)+ROUND(Source!AF49*Source!I49, 2)+ROUND((((Source!ET49)-(Source!EU49))+Source!AE49)*Source!I49, 2)</f>
        <v>3206.72</v>
      </c>
      <c r="H163" s="87"/>
      <c r="J163" s="87">
        <f>Source!O49</f>
        <v>3206.72</v>
      </c>
      <c r="K163" s="87"/>
      <c r="L163" s="35">
        <f>Source!U49</f>
        <v>0</v>
      </c>
      <c r="O163" s="34">
        <f>G163</f>
        <v>3206.72</v>
      </c>
      <c r="P163" s="34">
        <f>J163</f>
        <v>3206.72</v>
      </c>
      <c r="Q163" s="34">
        <f>L163</f>
        <v>0</v>
      </c>
      <c r="W163">
        <f>IF(Source!BI49&lt;=1,G163, 0)</f>
        <v>3206.72</v>
      </c>
      <c r="X163">
        <f>IF(Source!BI49=2,G163, 0)</f>
        <v>0</v>
      </c>
      <c r="Y163">
        <f>IF(Source!BI49=3,G163, 0)</f>
        <v>0</v>
      </c>
      <c r="Z163">
        <f>IF(Source!BI49=4,G163, 0)</f>
        <v>0</v>
      </c>
    </row>
    <row r="164" spans="1:26" ht="14.25" x14ac:dyDescent="0.2">
      <c r="A164" s="24" t="str">
        <f>Source!E50</f>
        <v>19</v>
      </c>
      <c r="B164" s="25" t="str">
        <f>Source!F50</f>
        <v>Прайс</v>
      </c>
      <c r="C164" s="23" t="str">
        <f>Source!G50</f>
        <v>Песок речной</v>
      </c>
      <c r="D164" s="26" t="str">
        <f>Source!H50</f>
        <v>ТН</v>
      </c>
      <c r="E164" s="10">
        <f>Source!I50</f>
        <v>12</v>
      </c>
      <c r="F164" s="28">
        <f>IF(Source!AK50&lt;&gt; 0, Source!AK50,Source!AL50 + Source!AM50 + Source!AO50)</f>
        <v>680</v>
      </c>
      <c r="G164" s="27"/>
      <c r="H164" s="28"/>
      <c r="I164" s="27" t="str">
        <f>Source!BO50</f>
        <v/>
      </c>
      <c r="J164" s="27"/>
      <c r="K164" s="28"/>
      <c r="L164" s="29"/>
      <c r="S164">
        <f>ROUND((Source!FX50/100)*((ROUND(Source!AF50*Source!I50, 2)+ROUND(Source!AE50*Source!I50, 2))), 2)</f>
        <v>0</v>
      </c>
      <c r="T164">
        <f>Source!X50</f>
        <v>0</v>
      </c>
      <c r="U164">
        <f>ROUND((Source!FY50/100)*((ROUND(Source!AF50*Source!I50, 2)+ROUND(Source!AE50*Source!I50, 2))), 2)</f>
        <v>0</v>
      </c>
      <c r="V164">
        <f>Source!Y50</f>
        <v>0</v>
      </c>
    </row>
    <row r="165" spans="1:26" ht="14.25" x14ac:dyDescent="0.2">
      <c r="A165" s="36"/>
      <c r="B165" s="37"/>
      <c r="C165" s="38" t="s">
        <v>425</v>
      </c>
      <c r="D165" s="39"/>
      <c r="E165" s="40"/>
      <c r="F165" s="41">
        <f>Source!AL50</f>
        <v>680</v>
      </c>
      <c r="G165" s="42" t="str">
        <f>Source!DD50</f>
        <v/>
      </c>
      <c r="H165" s="41">
        <f>ROUND(Source!AC50*Source!I50, 2)</f>
        <v>8160</v>
      </c>
      <c r="I165" s="42"/>
      <c r="J165" s="42">
        <f>IF(Source!BC50&lt;&gt; 0, Source!BC50, 1)</f>
        <v>1</v>
      </c>
      <c r="K165" s="41">
        <f>Source!P50</f>
        <v>8160</v>
      </c>
      <c r="L165" s="46"/>
    </row>
    <row r="166" spans="1:26" ht="15" x14ac:dyDescent="0.25">
      <c r="G166" s="87">
        <f>ROUND(Source!AC50*Source!I50, 2)+ROUND(Source!AF50*Source!I50, 2)+ROUND((((Source!ET50)-(Source!EU50))+Source!AE50)*Source!I50, 2)</f>
        <v>8160</v>
      </c>
      <c r="H166" s="87"/>
      <c r="J166" s="87">
        <f>Source!O50</f>
        <v>8160</v>
      </c>
      <c r="K166" s="87"/>
      <c r="L166" s="35">
        <f>Source!U50</f>
        <v>0</v>
      </c>
      <c r="O166" s="34">
        <f>G166</f>
        <v>8160</v>
      </c>
      <c r="P166" s="34">
        <f>J166</f>
        <v>8160</v>
      </c>
      <c r="Q166" s="34">
        <f>L166</f>
        <v>0</v>
      </c>
      <c r="W166">
        <f>IF(Source!BI50&lt;=1,G166, 0)</f>
        <v>8160</v>
      </c>
      <c r="X166">
        <f>IF(Source!BI50=2,G166, 0)</f>
        <v>0</v>
      </c>
      <c r="Y166">
        <f>IF(Source!BI50=3,G166, 0)</f>
        <v>0</v>
      </c>
      <c r="Z166">
        <f>IF(Source!BI50=4,G166, 0)</f>
        <v>0</v>
      </c>
    </row>
    <row r="167" spans="1:26" ht="41.25" x14ac:dyDescent="0.2">
      <c r="A167" s="24" t="str">
        <f>Source!E51</f>
        <v>20</v>
      </c>
      <c r="B167" s="25" t="str">
        <f>Source!F51</f>
        <v>ЭТМ</v>
      </c>
      <c r="C167" s="23" t="s">
        <v>429</v>
      </c>
      <c r="D167" s="26" t="str">
        <f>Source!H51</f>
        <v>ШТ</v>
      </c>
      <c r="E167" s="10">
        <f>Source!I51</f>
        <v>8</v>
      </c>
      <c r="F167" s="28">
        <f>IF(Source!AK51&lt;&gt; 0, Source!AK51,Source!AL51 + Source!AM51 + Source!AO51)</f>
        <v>5284.25</v>
      </c>
      <c r="G167" s="27"/>
      <c r="H167" s="28"/>
      <c r="I167" s="27" t="str">
        <f>Source!BO51</f>
        <v/>
      </c>
      <c r="J167" s="27"/>
      <c r="K167" s="28"/>
      <c r="L167" s="29"/>
      <c r="S167">
        <f>ROUND((Source!FX51/100)*((ROUND(Source!AF51*Source!I51, 2)+ROUND(Source!AE51*Source!I51, 2))), 2)</f>
        <v>0</v>
      </c>
      <c r="T167">
        <f>Source!X51</f>
        <v>0</v>
      </c>
      <c r="U167">
        <f>ROUND((Source!FY51/100)*((ROUND(Source!AF51*Source!I51, 2)+ROUND(Source!AE51*Source!I51, 2))), 2)</f>
        <v>0</v>
      </c>
      <c r="V167">
        <f>Source!Y51</f>
        <v>0</v>
      </c>
    </row>
    <row r="168" spans="1:26" ht="14.25" x14ac:dyDescent="0.2">
      <c r="A168" s="36"/>
      <c r="B168" s="37"/>
      <c r="C168" s="38" t="s">
        <v>425</v>
      </c>
      <c r="D168" s="39"/>
      <c r="E168" s="40"/>
      <c r="F168" s="41">
        <f>Source!AL51</f>
        <v>5284.25</v>
      </c>
      <c r="G168" s="42" t="str">
        <f>Source!DD51</f>
        <v/>
      </c>
      <c r="H168" s="41">
        <f>ROUND(Source!AC51*Source!I51, 2)</f>
        <v>42274</v>
      </c>
      <c r="I168" s="42"/>
      <c r="J168" s="42">
        <f>IF(Source!BC51&lt;&gt; 0, Source!BC51, 1)</f>
        <v>1</v>
      </c>
      <c r="K168" s="41">
        <f>Source!P51</f>
        <v>42274</v>
      </c>
      <c r="L168" s="46"/>
    </row>
    <row r="169" spans="1:26" ht="15" x14ac:dyDescent="0.25">
      <c r="G169" s="87">
        <f>ROUND(Source!AC51*Source!I51, 2)+ROUND(Source!AF51*Source!I51, 2)+ROUND((((Source!ET51)-(Source!EU51))+Source!AE51)*Source!I51, 2)</f>
        <v>42274</v>
      </c>
      <c r="H169" s="87"/>
      <c r="J169" s="87">
        <f>Source!O51</f>
        <v>42274</v>
      </c>
      <c r="K169" s="87"/>
      <c r="L169" s="35">
        <f>Source!U51</f>
        <v>0</v>
      </c>
      <c r="O169" s="34">
        <f>G169</f>
        <v>42274</v>
      </c>
      <c r="P169" s="34">
        <f>J169</f>
        <v>42274</v>
      </c>
      <c r="Q169" s="34">
        <f>L169</f>
        <v>0</v>
      </c>
      <c r="W169">
        <f>IF(Source!BI51&lt;=1,G169, 0)</f>
        <v>42274</v>
      </c>
      <c r="X169">
        <f>IF(Source!BI51=2,G169, 0)</f>
        <v>0</v>
      </c>
      <c r="Y169">
        <f>IF(Source!BI51=3,G169, 0)</f>
        <v>0</v>
      </c>
      <c r="Z169">
        <f>IF(Source!BI51=4,G169, 0)</f>
        <v>0</v>
      </c>
    </row>
    <row r="170" spans="1:26" ht="41.25" x14ac:dyDescent="0.2">
      <c r="A170" s="24" t="str">
        <f>Source!E52</f>
        <v>21</v>
      </c>
      <c r="B170" s="25" t="str">
        <f>Source!F52</f>
        <v>ЕКС</v>
      </c>
      <c r="C170" s="23" t="s">
        <v>430</v>
      </c>
      <c r="D170" s="26" t="str">
        <f>Source!H52</f>
        <v>ШТ</v>
      </c>
      <c r="E170" s="10">
        <f>Source!I52</f>
        <v>8</v>
      </c>
      <c r="F170" s="28">
        <f>IF(Source!AK52&lt;&gt; 0, Source!AK52,Source!AL52 + Source!AM52 + Source!AO52)</f>
        <v>447.5</v>
      </c>
      <c r="G170" s="27"/>
      <c r="H170" s="28"/>
      <c r="I170" s="27" t="str">
        <f>Source!BO52</f>
        <v/>
      </c>
      <c r="J170" s="27"/>
      <c r="K170" s="28"/>
      <c r="L170" s="29"/>
      <c r="S170">
        <f>ROUND((Source!FX52/100)*((ROUND(Source!AF52*Source!I52, 2)+ROUND(Source!AE52*Source!I52, 2))), 2)</f>
        <v>0</v>
      </c>
      <c r="T170">
        <f>Source!X52</f>
        <v>0</v>
      </c>
      <c r="U170">
        <f>ROUND((Source!FY52/100)*((ROUND(Source!AF52*Source!I52, 2)+ROUND(Source!AE52*Source!I52, 2))), 2)</f>
        <v>0</v>
      </c>
      <c r="V170">
        <f>Source!Y52</f>
        <v>0</v>
      </c>
    </row>
    <row r="171" spans="1:26" ht="14.25" x14ac:dyDescent="0.2">
      <c r="A171" s="36"/>
      <c r="B171" s="37"/>
      <c r="C171" s="38" t="s">
        <v>425</v>
      </c>
      <c r="D171" s="39"/>
      <c r="E171" s="40"/>
      <c r="F171" s="41">
        <f>Source!AL52</f>
        <v>447.5</v>
      </c>
      <c r="G171" s="42" t="str">
        <f>Source!DD52</f>
        <v/>
      </c>
      <c r="H171" s="41">
        <f>ROUND(Source!AC52*Source!I52, 2)</f>
        <v>3580</v>
      </c>
      <c r="I171" s="42"/>
      <c r="J171" s="42">
        <f>IF(Source!BC52&lt;&gt; 0, Source!BC52, 1)</f>
        <v>1</v>
      </c>
      <c r="K171" s="41">
        <f>Source!P52</f>
        <v>3580</v>
      </c>
      <c r="L171" s="46"/>
    </row>
    <row r="172" spans="1:26" ht="15" x14ac:dyDescent="0.25">
      <c r="G172" s="87">
        <f>ROUND(Source!AC52*Source!I52, 2)+ROUND(Source!AF52*Source!I52, 2)+ROUND((((Source!ET52)-(Source!EU52))+Source!AE52)*Source!I52, 2)</f>
        <v>3580</v>
      </c>
      <c r="H172" s="87"/>
      <c r="J172" s="87">
        <f>Source!O52</f>
        <v>3580</v>
      </c>
      <c r="K172" s="87"/>
      <c r="L172" s="35">
        <f>Source!U52</f>
        <v>0</v>
      </c>
      <c r="O172" s="34">
        <f>G172</f>
        <v>3580</v>
      </c>
      <c r="P172" s="34">
        <f>J172</f>
        <v>3580</v>
      </c>
      <c r="Q172" s="34">
        <f>L172</f>
        <v>0</v>
      </c>
      <c r="W172">
        <f>IF(Source!BI52&lt;=1,G172, 0)</f>
        <v>3580</v>
      </c>
      <c r="X172">
        <f>IF(Source!BI52=2,G172, 0)</f>
        <v>0</v>
      </c>
      <c r="Y172">
        <f>IF(Source!BI52=3,G172, 0)</f>
        <v>0</v>
      </c>
      <c r="Z172">
        <f>IF(Source!BI52=4,G172, 0)</f>
        <v>0</v>
      </c>
    </row>
    <row r="173" spans="1:26" ht="27" x14ac:dyDescent="0.2">
      <c r="A173" s="24" t="str">
        <f>Source!E53</f>
        <v>22</v>
      </c>
      <c r="B173" s="25" t="str">
        <f>Source!F53</f>
        <v>ЕКС</v>
      </c>
      <c r="C173" s="23" t="s">
        <v>431</v>
      </c>
      <c r="D173" s="26" t="str">
        <f>Source!H53</f>
        <v>ШТ</v>
      </c>
      <c r="E173" s="10">
        <f>Source!I53</f>
        <v>4</v>
      </c>
      <c r="F173" s="28">
        <f>IF(Source!AK53&lt;&gt; 0, Source!AK53,Source!AL53 + Source!AM53 + Source!AO53)</f>
        <v>1141.67</v>
      </c>
      <c r="G173" s="27"/>
      <c r="H173" s="28"/>
      <c r="I173" s="27" t="str">
        <f>Source!BO53</f>
        <v/>
      </c>
      <c r="J173" s="27"/>
      <c r="K173" s="28"/>
      <c r="L173" s="29"/>
      <c r="S173">
        <f>ROUND((Source!FX53/100)*((ROUND(Source!AF53*Source!I53, 2)+ROUND(Source!AE53*Source!I53, 2))), 2)</f>
        <v>0</v>
      </c>
      <c r="T173">
        <f>Source!X53</f>
        <v>0</v>
      </c>
      <c r="U173">
        <f>ROUND((Source!FY53/100)*((ROUND(Source!AF53*Source!I53, 2)+ROUND(Source!AE53*Source!I53, 2))), 2)</f>
        <v>0</v>
      </c>
      <c r="V173">
        <f>Source!Y53</f>
        <v>0</v>
      </c>
    </row>
    <row r="174" spans="1:26" ht="14.25" x14ac:dyDescent="0.2">
      <c r="A174" s="36"/>
      <c r="B174" s="37"/>
      <c r="C174" s="38" t="s">
        <v>425</v>
      </c>
      <c r="D174" s="39"/>
      <c r="E174" s="40"/>
      <c r="F174" s="41">
        <f>Source!AL53</f>
        <v>1141.67</v>
      </c>
      <c r="G174" s="42" t="str">
        <f>Source!DD53</f>
        <v/>
      </c>
      <c r="H174" s="41">
        <f>ROUND(Source!AC53*Source!I53, 2)</f>
        <v>4566.68</v>
      </c>
      <c r="I174" s="42"/>
      <c r="J174" s="42">
        <f>IF(Source!BC53&lt;&gt; 0, Source!BC53, 1)</f>
        <v>1</v>
      </c>
      <c r="K174" s="41">
        <f>Source!P53</f>
        <v>4566.68</v>
      </c>
      <c r="L174" s="46"/>
    </row>
    <row r="175" spans="1:26" ht="15" x14ac:dyDescent="0.25">
      <c r="G175" s="87">
        <f>ROUND(Source!AC53*Source!I53, 2)+ROUND(Source!AF53*Source!I53, 2)+ROUND((((Source!ET53)-(Source!EU53))+Source!AE53)*Source!I53, 2)</f>
        <v>4566.68</v>
      </c>
      <c r="H175" s="87"/>
      <c r="J175" s="87">
        <f>Source!O53</f>
        <v>4566.68</v>
      </c>
      <c r="K175" s="87"/>
      <c r="L175" s="35">
        <f>Source!U53</f>
        <v>0</v>
      </c>
      <c r="O175" s="34">
        <f>G175</f>
        <v>4566.68</v>
      </c>
      <c r="P175" s="34">
        <f>J175</f>
        <v>4566.68</v>
      </c>
      <c r="Q175" s="34">
        <f>L175</f>
        <v>0</v>
      </c>
      <c r="W175">
        <f>IF(Source!BI53&lt;=1,G175, 0)</f>
        <v>4566.68</v>
      </c>
      <c r="X175">
        <f>IF(Source!BI53=2,G175, 0)</f>
        <v>0</v>
      </c>
      <c r="Y175">
        <f>IF(Source!BI53=3,G175, 0)</f>
        <v>0</v>
      </c>
      <c r="Z175">
        <f>IF(Source!BI53=4,G175, 0)</f>
        <v>0</v>
      </c>
    </row>
    <row r="176" spans="1:26" ht="27" x14ac:dyDescent="0.2">
      <c r="A176" s="24" t="str">
        <f>Source!E54</f>
        <v>23</v>
      </c>
      <c r="B176" s="25" t="str">
        <f>Source!F54</f>
        <v>ЕКС</v>
      </c>
      <c r="C176" s="23" t="s">
        <v>432</v>
      </c>
      <c r="D176" s="26" t="str">
        <f>Source!H54</f>
        <v>ШТ</v>
      </c>
      <c r="E176" s="10">
        <f>Source!I54</f>
        <v>8</v>
      </c>
      <c r="F176" s="28">
        <f>IF(Source!AK54&lt;&gt; 0, Source!AK54,Source!AL54 + Source!AM54 + Source!AO54)</f>
        <v>60.79</v>
      </c>
      <c r="G176" s="27"/>
      <c r="H176" s="28"/>
      <c r="I176" s="27" t="str">
        <f>Source!BO54</f>
        <v/>
      </c>
      <c r="J176" s="27"/>
      <c r="K176" s="28"/>
      <c r="L176" s="29"/>
      <c r="S176">
        <f>ROUND((Source!FX54/100)*((ROUND(Source!AF54*Source!I54, 2)+ROUND(Source!AE54*Source!I54, 2))), 2)</f>
        <v>0</v>
      </c>
      <c r="T176">
        <f>Source!X54</f>
        <v>0</v>
      </c>
      <c r="U176">
        <f>ROUND((Source!FY54/100)*((ROUND(Source!AF54*Source!I54, 2)+ROUND(Source!AE54*Source!I54, 2))), 2)</f>
        <v>0</v>
      </c>
      <c r="V176">
        <f>Source!Y54</f>
        <v>0</v>
      </c>
    </row>
    <row r="177" spans="1:26" ht="14.25" x14ac:dyDescent="0.2">
      <c r="A177" s="36"/>
      <c r="B177" s="37"/>
      <c r="C177" s="38" t="s">
        <v>425</v>
      </c>
      <c r="D177" s="39"/>
      <c r="E177" s="40"/>
      <c r="F177" s="41">
        <f>Source!AL54</f>
        <v>60.79</v>
      </c>
      <c r="G177" s="42" t="str">
        <f>Source!DD54</f>
        <v/>
      </c>
      <c r="H177" s="41">
        <f>ROUND(Source!AC54*Source!I54, 2)</f>
        <v>486.32</v>
      </c>
      <c r="I177" s="42"/>
      <c r="J177" s="42">
        <f>IF(Source!BC54&lt;&gt; 0, Source!BC54, 1)</f>
        <v>1</v>
      </c>
      <c r="K177" s="41">
        <f>Source!P54</f>
        <v>486.32</v>
      </c>
      <c r="L177" s="46"/>
    </row>
    <row r="178" spans="1:26" ht="15" x14ac:dyDescent="0.25">
      <c r="G178" s="87">
        <f>ROUND(Source!AC54*Source!I54, 2)+ROUND(Source!AF54*Source!I54, 2)+ROUND((((Source!ET54)-(Source!EU54))+Source!AE54)*Source!I54, 2)</f>
        <v>486.32</v>
      </c>
      <c r="H178" s="87"/>
      <c r="J178" s="87">
        <f>Source!O54</f>
        <v>486.32</v>
      </c>
      <c r="K178" s="87"/>
      <c r="L178" s="35">
        <f>Source!U54</f>
        <v>0</v>
      </c>
      <c r="O178" s="34">
        <f>G178</f>
        <v>486.32</v>
      </c>
      <c r="P178" s="34">
        <f>J178</f>
        <v>486.32</v>
      </c>
      <c r="Q178" s="34">
        <f>L178</f>
        <v>0</v>
      </c>
      <c r="W178">
        <f>IF(Source!BI54&lt;=1,G178, 0)</f>
        <v>486.32</v>
      </c>
      <c r="X178">
        <f>IF(Source!BI54=2,G178, 0)</f>
        <v>0</v>
      </c>
      <c r="Y178">
        <f>IF(Source!BI54=3,G178, 0)</f>
        <v>0</v>
      </c>
      <c r="Z178">
        <f>IF(Source!BI54=4,G178, 0)</f>
        <v>0</v>
      </c>
    </row>
    <row r="179" spans="1:26" ht="27" x14ac:dyDescent="0.2">
      <c r="A179" s="24" t="str">
        <f>Source!E55</f>
        <v>24</v>
      </c>
      <c r="B179" s="25" t="str">
        <f>Source!F55</f>
        <v>ЕКС</v>
      </c>
      <c r="C179" s="23" t="s">
        <v>433</v>
      </c>
      <c r="D179" s="26" t="str">
        <f>Source!H55</f>
        <v>ШТ</v>
      </c>
      <c r="E179" s="10">
        <f>Source!I55</f>
        <v>10</v>
      </c>
      <c r="F179" s="28">
        <f>IF(Source!AK55&lt;&gt; 0, Source!AK55,Source!AL55 + Source!AM55 + Source!AO55)</f>
        <v>1564.17</v>
      </c>
      <c r="G179" s="27"/>
      <c r="H179" s="28"/>
      <c r="I179" s="27" t="str">
        <f>Source!BO55</f>
        <v/>
      </c>
      <c r="J179" s="27"/>
      <c r="K179" s="28"/>
      <c r="L179" s="29"/>
      <c r="S179">
        <f>ROUND((Source!FX55/100)*((ROUND(Source!AF55*Source!I55, 2)+ROUND(Source!AE55*Source!I55, 2))), 2)</f>
        <v>0</v>
      </c>
      <c r="T179">
        <f>Source!X55</f>
        <v>0</v>
      </c>
      <c r="U179">
        <f>ROUND((Source!FY55/100)*((ROUND(Source!AF55*Source!I55, 2)+ROUND(Source!AE55*Source!I55, 2))), 2)</f>
        <v>0</v>
      </c>
      <c r="V179">
        <f>Source!Y55</f>
        <v>0</v>
      </c>
    </row>
    <row r="180" spans="1:26" ht="14.25" x14ac:dyDescent="0.2">
      <c r="A180" s="36"/>
      <c r="B180" s="37"/>
      <c r="C180" s="38" t="s">
        <v>425</v>
      </c>
      <c r="D180" s="39"/>
      <c r="E180" s="40"/>
      <c r="F180" s="41">
        <f>Source!AL55</f>
        <v>1564.17</v>
      </c>
      <c r="G180" s="42" t="str">
        <f>Source!DD55</f>
        <v/>
      </c>
      <c r="H180" s="41">
        <f>ROUND(Source!AC55*Source!I55, 2)</f>
        <v>15641.7</v>
      </c>
      <c r="I180" s="42"/>
      <c r="J180" s="42">
        <f>IF(Source!BC55&lt;&gt; 0, Source!BC55, 1)</f>
        <v>1</v>
      </c>
      <c r="K180" s="41">
        <f>Source!P55</f>
        <v>15641.7</v>
      </c>
      <c r="L180" s="46"/>
    </row>
    <row r="181" spans="1:26" ht="15" x14ac:dyDescent="0.25">
      <c r="G181" s="87">
        <f>ROUND(Source!AC55*Source!I55, 2)+ROUND(Source!AF55*Source!I55, 2)+ROUND((((Source!ET55)-(Source!EU55))+Source!AE55)*Source!I55, 2)</f>
        <v>15641.7</v>
      </c>
      <c r="H181" s="87"/>
      <c r="J181" s="87">
        <f>Source!O55</f>
        <v>15641.7</v>
      </c>
      <c r="K181" s="87"/>
      <c r="L181" s="35">
        <f>Source!U55</f>
        <v>0</v>
      </c>
      <c r="O181" s="34">
        <f>G181</f>
        <v>15641.7</v>
      </c>
      <c r="P181" s="34">
        <f>J181</f>
        <v>15641.7</v>
      </c>
      <c r="Q181" s="34">
        <f>L181</f>
        <v>0</v>
      </c>
      <c r="W181">
        <f>IF(Source!BI55&lt;=1,G181, 0)</f>
        <v>15641.7</v>
      </c>
      <c r="X181">
        <f>IF(Source!BI55=2,G181, 0)</f>
        <v>0</v>
      </c>
      <c r="Y181">
        <f>IF(Source!BI55=3,G181, 0)</f>
        <v>0</v>
      </c>
      <c r="Z181">
        <f>IF(Source!BI55=4,G181, 0)</f>
        <v>0</v>
      </c>
    </row>
    <row r="182" spans="1:26" ht="27" x14ac:dyDescent="0.2">
      <c r="A182" s="24" t="str">
        <f>Source!E56</f>
        <v>25</v>
      </c>
      <c r="B182" s="25" t="str">
        <f>Source!F56</f>
        <v>ЕКС</v>
      </c>
      <c r="C182" s="23" t="s">
        <v>434</v>
      </c>
      <c r="D182" s="26" t="str">
        <f>Source!H56</f>
        <v>ШТ</v>
      </c>
      <c r="E182" s="10">
        <f>Source!I56</f>
        <v>50</v>
      </c>
      <c r="F182" s="28">
        <f>IF(Source!AK56&lt;&gt; 0, Source!AK56,Source!AL56 + Source!AM56 + Source!AO56)</f>
        <v>15</v>
      </c>
      <c r="G182" s="27"/>
      <c r="H182" s="28"/>
      <c r="I182" s="27" t="str">
        <f>Source!BO56</f>
        <v/>
      </c>
      <c r="J182" s="27"/>
      <c r="K182" s="28"/>
      <c r="L182" s="29"/>
      <c r="S182">
        <f>ROUND((Source!FX56/100)*((ROUND(Source!AF56*Source!I56, 2)+ROUND(Source!AE56*Source!I56, 2))), 2)</f>
        <v>0</v>
      </c>
      <c r="T182">
        <f>Source!X56</f>
        <v>0</v>
      </c>
      <c r="U182">
        <f>ROUND((Source!FY56/100)*((ROUND(Source!AF56*Source!I56, 2)+ROUND(Source!AE56*Source!I56, 2))), 2)</f>
        <v>0</v>
      </c>
      <c r="V182">
        <f>Source!Y56</f>
        <v>0</v>
      </c>
    </row>
    <row r="183" spans="1:26" ht="14.25" x14ac:dyDescent="0.2">
      <c r="A183" s="36"/>
      <c r="B183" s="37"/>
      <c r="C183" s="38" t="s">
        <v>425</v>
      </c>
      <c r="D183" s="39"/>
      <c r="E183" s="40"/>
      <c r="F183" s="41">
        <f>Source!AL56</f>
        <v>15</v>
      </c>
      <c r="G183" s="42" t="str">
        <f>Source!DD56</f>
        <v/>
      </c>
      <c r="H183" s="41">
        <f>ROUND(Source!AC56*Source!I56, 2)</f>
        <v>750</v>
      </c>
      <c r="I183" s="42"/>
      <c r="J183" s="42">
        <f>IF(Source!BC56&lt;&gt; 0, Source!BC56, 1)</f>
        <v>1</v>
      </c>
      <c r="K183" s="41">
        <f>Source!P56</f>
        <v>750</v>
      </c>
      <c r="L183" s="46"/>
    </row>
    <row r="184" spans="1:26" ht="15" x14ac:dyDescent="0.25">
      <c r="G184" s="87">
        <f>ROUND(Source!AC56*Source!I56, 2)+ROUND(Source!AF56*Source!I56, 2)+ROUND((((Source!ET56)-(Source!EU56))+Source!AE56)*Source!I56, 2)</f>
        <v>750</v>
      </c>
      <c r="H184" s="87"/>
      <c r="J184" s="87">
        <f>Source!O56</f>
        <v>750</v>
      </c>
      <c r="K184" s="87"/>
      <c r="L184" s="35">
        <f>Source!U56</f>
        <v>0</v>
      </c>
      <c r="O184" s="34">
        <f>G184</f>
        <v>750</v>
      </c>
      <c r="P184" s="34">
        <f>J184</f>
        <v>750</v>
      </c>
      <c r="Q184" s="34">
        <f>L184</f>
        <v>0</v>
      </c>
      <c r="W184">
        <f>IF(Source!BI56&lt;=1,G184, 0)</f>
        <v>750</v>
      </c>
      <c r="X184">
        <f>IF(Source!BI56=2,G184, 0)</f>
        <v>0</v>
      </c>
      <c r="Y184">
        <f>IF(Source!BI56=3,G184, 0)</f>
        <v>0</v>
      </c>
      <c r="Z184">
        <f>IF(Source!BI56=4,G184, 0)</f>
        <v>0</v>
      </c>
    </row>
    <row r="185" spans="1:26" ht="27" x14ac:dyDescent="0.2">
      <c r="A185" s="24" t="str">
        <f>Source!E57</f>
        <v>26</v>
      </c>
      <c r="B185" s="25" t="str">
        <f>Source!F57</f>
        <v>ЕКС</v>
      </c>
      <c r="C185" s="23" t="s">
        <v>435</v>
      </c>
      <c r="D185" s="26" t="str">
        <f>Source!H57</f>
        <v>ШТ</v>
      </c>
      <c r="E185" s="10">
        <f>Source!I57</f>
        <v>25</v>
      </c>
      <c r="F185" s="28">
        <f>IF(Source!AK57&lt;&gt; 0, Source!AK57,Source!AL57 + Source!AM57 + Source!AO57)</f>
        <v>103.33</v>
      </c>
      <c r="G185" s="27"/>
      <c r="H185" s="28"/>
      <c r="I185" s="27" t="str">
        <f>Source!BO57</f>
        <v/>
      </c>
      <c r="J185" s="27"/>
      <c r="K185" s="28"/>
      <c r="L185" s="29"/>
      <c r="S185">
        <f>ROUND((Source!FX57/100)*((ROUND(Source!AF57*Source!I57, 2)+ROUND(Source!AE57*Source!I57, 2))), 2)</f>
        <v>0</v>
      </c>
      <c r="T185">
        <f>Source!X57</f>
        <v>0</v>
      </c>
      <c r="U185">
        <f>ROUND((Source!FY57/100)*((ROUND(Source!AF57*Source!I57, 2)+ROUND(Source!AE57*Source!I57, 2))), 2)</f>
        <v>0</v>
      </c>
      <c r="V185">
        <f>Source!Y57</f>
        <v>0</v>
      </c>
    </row>
    <row r="186" spans="1:26" ht="14.25" x14ac:dyDescent="0.2">
      <c r="A186" s="36"/>
      <c r="B186" s="37"/>
      <c r="C186" s="38" t="s">
        <v>425</v>
      </c>
      <c r="D186" s="39"/>
      <c r="E186" s="40"/>
      <c r="F186" s="41">
        <f>Source!AL57</f>
        <v>103.33</v>
      </c>
      <c r="G186" s="42" t="str">
        <f>Source!DD57</f>
        <v/>
      </c>
      <c r="H186" s="41">
        <f>ROUND(Source!AC57*Source!I57, 2)</f>
        <v>2583.25</v>
      </c>
      <c r="I186" s="42"/>
      <c r="J186" s="42">
        <f>IF(Source!BC57&lt;&gt; 0, Source!BC57, 1)</f>
        <v>1</v>
      </c>
      <c r="K186" s="41">
        <f>Source!P57</f>
        <v>2583.25</v>
      </c>
      <c r="L186" s="46"/>
    </row>
    <row r="187" spans="1:26" ht="15" x14ac:dyDescent="0.25">
      <c r="G187" s="87">
        <f>ROUND(Source!AC57*Source!I57, 2)+ROUND(Source!AF57*Source!I57, 2)+ROUND((((Source!ET57)-(Source!EU57))+Source!AE57)*Source!I57, 2)</f>
        <v>2583.25</v>
      </c>
      <c r="H187" s="87"/>
      <c r="J187" s="87">
        <f>Source!O57</f>
        <v>2583.25</v>
      </c>
      <c r="K187" s="87"/>
      <c r="L187" s="35">
        <f>Source!U57</f>
        <v>0</v>
      </c>
      <c r="O187" s="34">
        <f>G187</f>
        <v>2583.25</v>
      </c>
      <c r="P187" s="34">
        <f>J187</f>
        <v>2583.25</v>
      </c>
      <c r="Q187" s="34">
        <f>L187</f>
        <v>0</v>
      </c>
      <c r="W187">
        <f>IF(Source!BI57&lt;=1,G187, 0)</f>
        <v>2583.25</v>
      </c>
      <c r="X187">
        <f>IF(Source!BI57=2,G187, 0)</f>
        <v>0</v>
      </c>
      <c r="Y187">
        <f>IF(Source!BI57=3,G187, 0)</f>
        <v>0</v>
      </c>
      <c r="Z187">
        <f>IF(Source!BI57=4,G187, 0)</f>
        <v>0</v>
      </c>
    </row>
    <row r="188" spans="1:26" ht="27" x14ac:dyDescent="0.2">
      <c r="A188" s="24" t="str">
        <f>Source!E58</f>
        <v>27</v>
      </c>
      <c r="B188" s="25" t="str">
        <f>Source!F58</f>
        <v>ЕКС</v>
      </c>
      <c r="C188" s="23" t="s">
        <v>436</v>
      </c>
      <c r="D188" s="26" t="str">
        <f>Source!H58</f>
        <v>ШТ</v>
      </c>
      <c r="E188" s="10">
        <f>Source!I58</f>
        <v>125</v>
      </c>
      <c r="F188" s="28">
        <f>IF(Source!AK58&lt;&gt; 0, Source!AK58,Source!AL58 + Source!AM58 + Source!AO58)</f>
        <v>4.17</v>
      </c>
      <c r="G188" s="27"/>
      <c r="H188" s="28"/>
      <c r="I188" s="27" t="str">
        <f>Source!BO58</f>
        <v/>
      </c>
      <c r="J188" s="27"/>
      <c r="K188" s="28"/>
      <c r="L188" s="29"/>
      <c r="S188">
        <f>ROUND((Source!FX58/100)*((ROUND(Source!AF58*Source!I58, 2)+ROUND(Source!AE58*Source!I58, 2))), 2)</f>
        <v>0</v>
      </c>
      <c r="T188">
        <f>Source!X58</f>
        <v>0</v>
      </c>
      <c r="U188">
        <f>ROUND((Source!FY58/100)*((ROUND(Source!AF58*Source!I58, 2)+ROUND(Source!AE58*Source!I58, 2))), 2)</f>
        <v>0</v>
      </c>
      <c r="V188">
        <f>Source!Y58</f>
        <v>0</v>
      </c>
    </row>
    <row r="189" spans="1:26" ht="14.25" x14ac:dyDescent="0.2">
      <c r="A189" s="36"/>
      <c r="B189" s="37"/>
      <c r="C189" s="38" t="s">
        <v>425</v>
      </c>
      <c r="D189" s="39"/>
      <c r="E189" s="40"/>
      <c r="F189" s="41">
        <f>Source!AL58</f>
        <v>4.17</v>
      </c>
      <c r="G189" s="42" t="str">
        <f>Source!DD58</f>
        <v/>
      </c>
      <c r="H189" s="41">
        <f>ROUND(Source!AC58*Source!I58, 2)</f>
        <v>521.25</v>
      </c>
      <c r="I189" s="42"/>
      <c r="J189" s="42">
        <f>IF(Source!BC58&lt;&gt; 0, Source!BC58, 1)</f>
        <v>1</v>
      </c>
      <c r="K189" s="41">
        <f>Source!P58</f>
        <v>521.25</v>
      </c>
      <c r="L189" s="46"/>
    </row>
    <row r="190" spans="1:26" ht="15" x14ac:dyDescent="0.25">
      <c r="G190" s="87">
        <f>ROUND(Source!AC58*Source!I58, 2)+ROUND(Source!AF58*Source!I58, 2)+ROUND((((Source!ET58)-(Source!EU58))+Source!AE58)*Source!I58, 2)</f>
        <v>521.25</v>
      </c>
      <c r="H190" s="87"/>
      <c r="J190" s="87">
        <f>Source!O58</f>
        <v>521.25</v>
      </c>
      <c r="K190" s="87"/>
      <c r="L190" s="35">
        <f>Source!U58</f>
        <v>0</v>
      </c>
      <c r="O190" s="34">
        <f>G190</f>
        <v>521.25</v>
      </c>
      <c r="P190" s="34">
        <f>J190</f>
        <v>521.25</v>
      </c>
      <c r="Q190" s="34">
        <f>L190</f>
        <v>0</v>
      </c>
      <c r="W190">
        <f>IF(Source!BI58&lt;=1,G190, 0)</f>
        <v>521.25</v>
      </c>
      <c r="X190">
        <f>IF(Source!BI58=2,G190, 0)</f>
        <v>0</v>
      </c>
      <c r="Y190">
        <f>IF(Source!BI58=3,G190, 0)</f>
        <v>0</v>
      </c>
      <c r="Z190">
        <f>IF(Source!BI58=4,G190, 0)</f>
        <v>0</v>
      </c>
    </row>
    <row r="191" spans="1:26" ht="27" x14ac:dyDescent="0.2">
      <c r="A191" s="24" t="str">
        <f>Source!E59</f>
        <v>28</v>
      </c>
      <c r="B191" s="25" t="str">
        <f>Source!F59</f>
        <v>ЕКС</v>
      </c>
      <c r="C191" s="23" t="s">
        <v>437</v>
      </c>
      <c r="D191" s="26" t="str">
        <f>Source!H59</f>
        <v>ШТ</v>
      </c>
      <c r="E191" s="10">
        <f>Source!I59</f>
        <v>100</v>
      </c>
      <c r="F191" s="28">
        <f>IF(Source!AK59&lt;&gt; 0, Source!AK59,Source!AL59 + Source!AM59 + Source!AO59)</f>
        <v>7.5</v>
      </c>
      <c r="G191" s="27"/>
      <c r="H191" s="28"/>
      <c r="I191" s="27" t="str">
        <f>Source!BO59</f>
        <v/>
      </c>
      <c r="J191" s="27"/>
      <c r="K191" s="28"/>
      <c r="L191" s="29"/>
      <c r="S191">
        <f>ROUND((Source!FX59/100)*((ROUND(Source!AF59*Source!I59, 2)+ROUND(Source!AE59*Source!I59, 2))), 2)</f>
        <v>0</v>
      </c>
      <c r="T191">
        <f>Source!X59</f>
        <v>0</v>
      </c>
      <c r="U191">
        <f>ROUND((Source!FY59/100)*((ROUND(Source!AF59*Source!I59, 2)+ROUND(Source!AE59*Source!I59, 2))), 2)</f>
        <v>0</v>
      </c>
      <c r="V191">
        <f>Source!Y59</f>
        <v>0</v>
      </c>
    </row>
    <row r="192" spans="1:26" ht="14.25" x14ac:dyDescent="0.2">
      <c r="A192" s="36"/>
      <c r="B192" s="37"/>
      <c r="C192" s="38" t="s">
        <v>425</v>
      </c>
      <c r="D192" s="39"/>
      <c r="E192" s="40"/>
      <c r="F192" s="41">
        <f>Source!AL59</f>
        <v>7.5</v>
      </c>
      <c r="G192" s="42" t="str">
        <f>Source!DD59</f>
        <v/>
      </c>
      <c r="H192" s="41">
        <f>ROUND(Source!AC59*Source!I59, 2)</f>
        <v>750</v>
      </c>
      <c r="I192" s="42"/>
      <c r="J192" s="42">
        <f>IF(Source!BC59&lt;&gt; 0, Source!BC59, 1)</f>
        <v>1</v>
      </c>
      <c r="K192" s="41">
        <f>Source!P59</f>
        <v>750</v>
      </c>
      <c r="L192" s="46"/>
    </row>
    <row r="193" spans="1:39" ht="15" x14ac:dyDescent="0.25">
      <c r="G193" s="87">
        <f>ROUND(Source!AC59*Source!I59, 2)+ROUND(Source!AF59*Source!I59, 2)+ROUND((((Source!ET59)-(Source!EU59))+Source!AE59)*Source!I59, 2)</f>
        <v>750</v>
      </c>
      <c r="H193" s="87"/>
      <c r="J193" s="87">
        <f>Source!O59</f>
        <v>750</v>
      </c>
      <c r="K193" s="87"/>
      <c r="L193" s="35">
        <f>Source!U59</f>
        <v>0</v>
      </c>
      <c r="O193" s="34">
        <f>G193</f>
        <v>750</v>
      </c>
      <c r="P193" s="34">
        <f>J193</f>
        <v>750</v>
      </c>
      <c r="Q193" s="34">
        <f>L193</f>
        <v>0</v>
      </c>
      <c r="W193">
        <f>IF(Source!BI59&lt;=1,G193, 0)</f>
        <v>750</v>
      </c>
      <c r="X193">
        <f>IF(Source!BI59=2,G193, 0)</f>
        <v>0</v>
      </c>
      <c r="Y193">
        <f>IF(Source!BI59=3,G193, 0)</f>
        <v>0</v>
      </c>
      <c r="Z193">
        <f>IF(Source!BI59=4,G193, 0)</f>
        <v>0</v>
      </c>
    </row>
    <row r="196" spans="1:39" ht="45" x14ac:dyDescent="0.25">
      <c r="A196" s="88" t="str">
        <f>CONCATENATE("Итого по смете: ", Source!G99)</f>
        <v>Итого по смете: Строительство КЛ-0,4 кВ от ТП-6/0,4 кВ до ВРУ-0,4 кВ многоквартирного жилого дома поз.5 в микрорайоне "Акварель", г. Чебоксары, к.н. 21:01:010901:3323</v>
      </c>
      <c r="B196" s="88"/>
      <c r="C196" s="88"/>
      <c r="D196" s="88"/>
      <c r="E196" s="88"/>
      <c r="F196" s="88"/>
      <c r="G196" s="86">
        <f>SUM(O1:O195)</f>
        <v>573664.8899999999</v>
      </c>
      <c r="H196" s="89"/>
      <c r="I196" s="11"/>
      <c r="J196" s="86">
        <f>SUM(P1:P195)</f>
        <v>688164.07999999984</v>
      </c>
      <c r="K196" s="89"/>
      <c r="L196" s="35">
        <f>SUM(Q1:Q195)</f>
        <v>143.12730480000002</v>
      </c>
      <c r="AG196" s="58" t="str">
        <f>CONCATENATE("Итого по смете: ", Source!G99)</f>
        <v>Итого по смете: Строительство КЛ-0,4 кВ от ТП-6/0,4 кВ до ВРУ-0,4 кВ многоквартирного жилого дома поз.5 в микрорайоне "Акварель", г. Чебоксары, к.н. 21:01:010901:3323</v>
      </c>
    </row>
    <row r="198" spans="1:39" ht="14.25" x14ac:dyDescent="0.2">
      <c r="C198" s="23" t="str">
        <f>Source!H128</f>
        <v>ОЗП</v>
      </c>
      <c r="J198" s="86">
        <f>Source!F128</f>
        <v>41503.99</v>
      </c>
      <c r="K198" s="86"/>
    </row>
    <row r="199" spans="1:39" ht="14.25" x14ac:dyDescent="0.2">
      <c r="C199" s="23" t="str">
        <f>Source!H129</f>
        <v>ЭММ, в т.ч. ЗПМ</v>
      </c>
      <c r="J199" s="86">
        <f>Source!F129</f>
        <v>8341.85</v>
      </c>
      <c r="K199" s="86"/>
    </row>
    <row r="200" spans="1:39" ht="14.25" x14ac:dyDescent="0.2">
      <c r="C200" s="23" t="str">
        <f>Source!H130</f>
        <v>Стоимость материалов</v>
      </c>
      <c r="J200" s="86">
        <f>Source!F130</f>
        <v>578048.03</v>
      </c>
      <c r="K200" s="86"/>
    </row>
    <row r="201" spans="1:39" ht="14.25" x14ac:dyDescent="0.2">
      <c r="C201" s="23" t="str">
        <f>Source!H131</f>
        <v>НР</v>
      </c>
      <c r="J201" s="86">
        <f>39788.71*0.7</f>
        <v>27852.096999999998</v>
      </c>
      <c r="K201" s="86"/>
    </row>
    <row r="202" spans="1:39" ht="14.25" x14ac:dyDescent="0.2">
      <c r="C202" s="23" t="str">
        <f>Source!H132</f>
        <v>СП</v>
      </c>
      <c r="J202" s="86">
        <f>20481.5*0.6</f>
        <v>12288.9</v>
      </c>
      <c r="K202" s="86"/>
    </row>
    <row r="203" spans="1:39" ht="14.25" x14ac:dyDescent="0.2">
      <c r="C203" s="23" t="str">
        <f>Source!H133</f>
        <v>Всего</v>
      </c>
      <c r="D203" s="84" t="str">
        <f>"="&amp;Source!F128&amp;"+"&amp;""&amp;Source!F129&amp;"+"&amp;""&amp;Source!F130&amp;"+"&amp;""&amp;Source!F131&amp;"+"&amp;""&amp;Source!F132&amp;""</f>
        <v>=41503,99+8341,85+578048,03+39788,71+20481,5</v>
      </c>
      <c r="E203" s="85"/>
      <c r="F203" s="85"/>
      <c r="G203" s="85"/>
      <c r="H203" s="85"/>
      <c r="I203" s="85"/>
      <c r="J203" s="86">
        <f>J198+J199+J200+J201+J202</f>
        <v>668034.86699999997</v>
      </c>
      <c r="K203" s="86"/>
      <c r="AM203" s="59" t="str">
        <f>"="&amp;Source!F128&amp;"+"&amp;""&amp;Source!F129&amp;"+"&amp;""&amp;Source!F130&amp;"+"&amp;""&amp;Source!F131&amp;"+"&amp;""&amp;Source!F132&amp;""</f>
        <v>=41503,99+8341,85+578048,03+39788,71+20481,5</v>
      </c>
    </row>
    <row r="204" spans="1:39" ht="14.25" x14ac:dyDescent="0.2">
      <c r="C204" s="23" t="str">
        <f>Source!H134</f>
        <v>НДС 20%</v>
      </c>
      <c r="D204" s="84" t="str">
        <f>"="&amp;Source!F133&amp;"*"&amp;"0,2"</f>
        <v>=688164,08*0,2</v>
      </c>
      <c r="E204" s="85"/>
      <c r="F204" s="85"/>
      <c r="G204" s="85"/>
      <c r="H204" s="85"/>
      <c r="I204" s="85"/>
      <c r="J204" s="86">
        <f>J203*0.2</f>
        <v>133606.97339999999</v>
      </c>
      <c r="K204" s="86"/>
      <c r="AM204" s="59" t="str">
        <f>"="&amp;Source!F133&amp;"*"&amp;"0,2"</f>
        <v>=688164,08*0,2</v>
      </c>
    </row>
    <row r="205" spans="1:39" ht="15" x14ac:dyDescent="0.25">
      <c r="C205" s="23" t="str">
        <f>Source!H135</f>
        <v>Итого с НДС</v>
      </c>
      <c r="D205" s="84" t="str">
        <f>"="&amp;Source!F133&amp;"+"&amp;""&amp;Source!F134&amp;""</f>
        <v>=688164,08+137632,82</v>
      </c>
      <c r="E205" s="85"/>
      <c r="F205" s="85"/>
      <c r="G205" s="85"/>
      <c r="H205" s="85"/>
      <c r="I205" s="85"/>
      <c r="J205" s="87">
        <f>J203+J204</f>
        <v>801641.84039999999</v>
      </c>
      <c r="K205" s="87"/>
      <c r="AM205" s="59" t="str">
        <f>"="&amp;Source!F133&amp;"+"&amp;""&amp;Source!F134&amp;""</f>
        <v>=688164,08+137632,82</v>
      </c>
    </row>
    <row r="209" spans="1:12" ht="14.25" x14ac:dyDescent="0.2">
      <c r="A209" s="82" t="s">
        <v>438</v>
      </c>
      <c r="B209" s="82"/>
      <c r="C209" s="60" t="str">
        <f>IF(Source!AC12&lt;&gt;"", Source!AC12," ")</f>
        <v xml:space="preserve"> </v>
      </c>
      <c r="D209" s="61"/>
      <c r="E209" s="60"/>
      <c r="F209" s="60"/>
      <c r="G209" s="61"/>
      <c r="H209" s="60" t="str">
        <f>IF(Source!AB12&lt;&gt;"", Source!AB12," ")</f>
        <v xml:space="preserve"> </v>
      </c>
      <c r="I209" s="60"/>
      <c r="J209" s="60"/>
      <c r="K209" s="60"/>
      <c r="L209" s="11"/>
    </row>
    <row r="210" spans="1:12" ht="14.25" x14ac:dyDescent="0.2">
      <c r="A210" s="61"/>
      <c r="B210" s="61"/>
      <c r="C210" s="62" t="s">
        <v>439</v>
      </c>
      <c r="D210" s="61"/>
      <c r="E210" s="83" t="s">
        <v>440</v>
      </c>
      <c r="F210" s="83"/>
      <c r="G210" s="61"/>
      <c r="H210" s="83" t="s">
        <v>441</v>
      </c>
      <c r="I210" s="83"/>
      <c r="J210" s="83"/>
      <c r="K210" s="83"/>
      <c r="L210" s="11"/>
    </row>
    <row r="211" spans="1:12" ht="14.25" x14ac:dyDescent="0.2">
      <c r="A211" s="61"/>
      <c r="B211" s="63"/>
      <c r="C211" s="61"/>
      <c r="D211" s="63"/>
      <c r="E211" s="61" t="s">
        <v>442</v>
      </c>
      <c r="F211" s="61"/>
      <c r="G211" s="61"/>
      <c r="H211" s="61"/>
      <c r="I211" s="61"/>
      <c r="J211" s="61"/>
      <c r="K211" s="61"/>
      <c r="L211" s="11"/>
    </row>
    <row r="212" spans="1:12" ht="14.25" x14ac:dyDescent="0.2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11"/>
    </row>
    <row r="213" spans="1:12" ht="14.25" x14ac:dyDescent="0.2">
      <c r="A213" s="82" t="s">
        <v>443</v>
      </c>
      <c r="B213" s="82"/>
      <c r="C213" s="60" t="str">
        <f>IF(Source!AE12&lt;&gt;"", Source!AE12," ")</f>
        <v xml:space="preserve"> </v>
      </c>
      <c r="D213" s="61"/>
      <c r="E213" s="60"/>
      <c r="F213" s="60"/>
      <c r="G213" s="61"/>
      <c r="H213" s="60" t="str">
        <f>IF(Source!AD12&lt;&gt;"", Source!AD12," ")</f>
        <v xml:space="preserve"> </v>
      </c>
      <c r="I213" s="60"/>
      <c r="J213" s="60"/>
      <c r="K213" s="60"/>
      <c r="L213" s="11"/>
    </row>
    <row r="214" spans="1:12" ht="14.25" x14ac:dyDescent="0.2">
      <c r="A214" s="61"/>
      <c r="B214" s="61"/>
      <c r="C214" s="62" t="s">
        <v>439</v>
      </c>
      <c r="D214" s="61"/>
      <c r="E214" s="83" t="s">
        <v>440</v>
      </c>
      <c r="F214" s="83"/>
      <c r="G214" s="61"/>
      <c r="H214" s="83" t="s">
        <v>441</v>
      </c>
      <c r="I214" s="83"/>
      <c r="J214" s="83"/>
      <c r="K214" s="83"/>
      <c r="L214" s="11"/>
    </row>
    <row r="215" spans="1:12" ht="14.25" x14ac:dyDescent="0.2">
      <c r="A215" s="64"/>
      <c r="B215" s="64"/>
      <c r="C215" s="61"/>
      <c r="D215" s="65"/>
      <c r="E215" s="61" t="s">
        <v>442</v>
      </c>
      <c r="F215" s="64"/>
      <c r="G215" s="64"/>
      <c r="H215" s="64"/>
      <c r="I215" s="64"/>
      <c r="J215" s="64"/>
      <c r="K215" s="64"/>
      <c r="L215" s="11"/>
    </row>
  </sheetData>
  <mergeCells count="88">
    <mergeCell ref="B7:E7"/>
    <mergeCell ref="H7:L7"/>
    <mergeCell ref="B3:E3"/>
    <mergeCell ref="H3:L3"/>
    <mergeCell ref="B4:E4"/>
    <mergeCell ref="H4:L4"/>
    <mergeCell ref="B6:E6"/>
    <mergeCell ref="H6:L6"/>
    <mergeCell ref="A17:L17"/>
    <mergeCell ref="G28:H28"/>
    <mergeCell ref="J28:K28"/>
    <mergeCell ref="B11:K11"/>
    <mergeCell ref="B13:K13"/>
    <mergeCell ref="B14:K14"/>
    <mergeCell ref="G35:H35"/>
    <mergeCell ref="J35:K35"/>
    <mergeCell ref="G42:H42"/>
    <mergeCell ref="J42:K42"/>
    <mergeCell ref="G49:H49"/>
    <mergeCell ref="J49:K49"/>
    <mergeCell ref="G58:H58"/>
    <mergeCell ref="J58:K58"/>
    <mergeCell ref="G67:H67"/>
    <mergeCell ref="J67:K67"/>
    <mergeCell ref="G78:H78"/>
    <mergeCell ref="J78:K78"/>
    <mergeCell ref="G89:H89"/>
    <mergeCell ref="J89:K89"/>
    <mergeCell ref="G99:H99"/>
    <mergeCell ref="J99:K99"/>
    <mergeCell ref="G110:H110"/>
    <mergeCell ref="J110:K110"/>
    <mergeCell ref="G121:H121"/>
    <mergeCell ref="J121:K121"/>
    <mergeCell ref="G131:H131"/>
    <mergeCell ref="J131:K131"/>
    <mergeCell ref="G139:H139"/>
    <mergeCell ref="J139:K139"/>
    <mergeCell ref="G148:H148"/>
    <mergeCell ref="J148:K148"/>
    <mergeCell ref="G154:H154"/>
    <mergeCell ref="J154:K154"/>
    <mergeCell ref="G157:H157"/>
    <mergeCell ref="J157:K157"/>
    <mergeCell ref="G160:H160"/>
    <mergeCell ref="J160:K160"/>
    <mergeCell ref="G163:H163"/>
    <mergeCell ref="J163:K163"/>
    <mergeCell ref="G166:H166"/>
    <mergeCell ref="J166:K166"/>
    <mergeCell ref="G169:H169"/>
    <mergeCell ref="J169:K169"/>
    <mergeCell ref="G172:H172"/>
    <mergeCell ref="J172:K172"/>
    <mergeCell ref="G175:H175"/>
    <mergeCell ref="J175:K175"/>
    <mergeCell ref="G178:H178"/>
    <mergeCell ref="J178:K178"/>
    <mergeCell ref="G181:H181"/>
    <mergeCell ref="J181:K181"/>
    <mergeCell ref="G184:H184"/>
    <mergeCell ref="J184:K184"/>
    <mergeCell ref="A196:F196"/>
    <mergeCell ref="J196:K196"/>
    <mergeCell ref="G196:H196"/>
    <mergeCell ref="J198:K198"/>
    <mergeCell ref="G187:H187"/>
    <mergeCell ref="J187:K187"/>
    <mergeCell ref="G190:H190"/>
    <mergeCell ref="J190:K190"/>
    <mergeCell ref="G193:H193"/>
    <mergeCell ref="J193:K193"/>
    <mergeCell ref="J199:K199"/>
    <mergeCell ref="J200:K200"/>
    <mergeCell ref="J201:K201"/>
    <mergeCell ref="J202:K202"/>
    <mergeCell ref="D203:I203"/>
    <mergeCell ref="J203:K203"/>
    <mergeCell ref="A213:B213"/>
    <mergeCell ref="E214:F214"/>
    <mergeCell ref="H214:K214"/>
    <mergeCell ref="D204:I204"/>
    <mergeCell ref="J204:K204"/>
    <mergeCell ref="D205:I205"/>
    <mergeCell ref="J205:K205"/>
    <mergeCell ref="A209:B209"/>
    <mergeCell ref="E210:F210"/>
    <mergeCell ref="H210:K210"/>
  </mergeCells>
  <pageMargins left="0.4" right="0.2" top="0.2" bottom="0.4" header="0.2" footer="0.2"/>
  <pageSetup paperSize="9" scale="58" orientation="portrait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1"/>
  <sheetViews>
    <sheetView zoomScale="128" zoomScaleNormal="128" workbookViewId="0"/>
  </sheetViews>
  <sheetFormatPr defaultRowHeight="12.75" x14ac:dyDescent="0.2"/>
  <cols>
    <col min="1" max="2" width="5.7109375" customWidth="1"/>
    <col min="3" max="3" width="11.7109375" customWidth="1"/>
    <col min="4" max="4" width="40.7109375" customWidth="1"/>
    <col min="5" max="6" width="10.7109375" customWidth="1"/>
    <col min="7" max="9" width="12.7109375" customWidth="1"/>
    <col min="10" max="10" width="17.7109375" customWidth="1"/>
    <col min="11" max="11" width="8.7109375" customWidth="1"/>
    <col min="12" max="12" width="12.7109375" customWidth="1"/>
    <col min="13" max="13" width="8.7109375" customWidth="1"/>
    <col min="15" max="29" width="0" hidden="1" customWidth="1"/>
    <col min="30" max="30" width="110.7109375" hidden="1" customWidth="1"/>
    <col min="31" max="32" width="0" hidden="1" customWidth="1"/>
    <col min="33" max="33" width="96.7109375" hidden="1" customWidth="1"/>
    <col min="34" max="38" width="0" hidden="1" customWidth="1"/>
    <col min="39" max="39" width="76.7109375" hidden="1" customWidth="1"/>
  </cols>
  <sheetData>
    <row r="1" spans="1:30" x14ac:dyDescent="0.2">
      <c r="A1" s="9" t="str">
        <f>Source!B1</f>
        <v>Smeta.RU  (495) 974-1589</v>
      </c>
    </row>
    <row r="2" spans="1:30" ht="15" x14ac:dyDescent="0.25">
      <c r="A2" s="11"/>
      <c r="B2" s="11"/>
      <c r="C2" s="11"/>
      <c r="D2" s="57"/>
      <c r="E2" s="57"/>
      <c r="F2" s="57"/>
      <c r="G2" s="11"/>
      <c r="H2" s="11"/>
      <c r="I2" s="11"/>
      <c r="J2" s="112" t="s">
        <v>444</v>
      </c>
      <c r="K2" s="112"/>
      <c r="L2" s="112"/>
      <c r="M2" s="112"/>
    </row>
    <row r="3" spans="1:30" ht="14.25" x14ac:dyDescent="0.2">
      <c r="A3" s="11"/>
      <c r="B3" s="11"/>
      <c r="C3" s="11"/>
      <c r="D3" s="11"/>
      <c r="E3" s="11"/>
      <c r="F3" s="11"/>
      <c r="G3" s="11"/>
      <c r="H3" s="11"/>
      <c r="I3" s="112" t="s">
        <v>445</v>
      </c>
      <c r="J3" s="113"/>
      <c r="K3" s="113"/>
      <c r="L3" s="113"/>
      <c r="M3" s="113"/>
    </row>
    <row r="4" spans="1:30" ht="14.25" x14ac:dyDescent="0.2">
      <c r="A4" s="11"/>
      <c r="B4" s="11"/>
      <c r="C4" s="11"/>
      <c r="D4" s="11"/>
      <c r="E4" s="11"/>
      <c r="F4" s="11"/>
      <c r="G4" s="11"/>
      <c r="H4" s="11"/>
      <c r="I4" s="11"/>
      <c r="J4" s="112" t="s">
        <v>446</v>
      </c>
      <c r="K4" s="112"/>
      <c r="L4" s="112"/>
      <c r="M4" s="112"/>
    </row>
    <row r="5" spans="1:30" ht="14.25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30" ht="14.25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02" t="s">
        <v>447</v>
      </c>
      <c r="L6" s="102"/>
      <c r="M6" s="102"/>
    </row>
    <row r="7" spans="1:30" ht="14.25" x14ac:dyDescent="0.2">
      <c r="A7" s="11"/>
      <c r="B7" s="11"/>
      <c r="C7" s="11"/>
      <c r="D7" s="11"/>
      <c r="E7" s="11"/>
      <c r="F7" s="11"/>
      <c r="G7" s="11"/>
      <c r="H7" s="11"/>
      <c r="I7" s="11"/>
      <c r="J7" s="10" t="s">
        <v>448</v>
      </c>
      <c r="K7" s="114" t="s">
        <v>449</v>
      </c>
      <c r="L7" s="114"/>
      <c r="M7" s="114"/>
    </row>
    <row r="8" spans="1:30" ht="14.25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02" t="str">
        <f>IF(Source!AT15 &lt;&gt; "", Source!AT15, "")</f>
        <v/>
      </c>
      <c r="L8" s="102"/>
      <c r="M8" s="102"/>
    </row>
    <row r="9" spans="1:30" ht="14.25" x14ac:dyDescent="0.2">
      <c r="A9" s="96" t="s">
        <v>450</v>
      </c>
      <c r="B9" s="96"/>
      <c r="C9" s="110" t="str">
        <f>IF(Source!BA15 &lt;&gt; "", Source!BA15, IF(Source!AU15 &lt;&gt; "", Source!AU15, ""))</f>
        <v/>
      </c>
      <c r="D9" s="110"/>
      <c r="E9" s="110"/>
      <c r="F9" s="110"/>
      <c r="G9" s="110"/>
      <c r="H9" s="110"/>
      <c r="I9" s="110"/>
      <c r="J9" s="10" t="s">
        <v>451</v>
      </c>
      <c r="K9" s="102"/>
      <c r="L9" s="102"/>
      <c r="M9" s="102"/>
      <c r="AD9" s="38" t="str">
        <f>IF(Source!BA15 &lt;&gt; "", Source!BA15, IF(Source!AU15 &lt;&gt; "", Source!AU15, ""))</f>
        <v/>
      </c>
    </row>
    <row r="10" spans="1:30" ht="14.25" x14ac:dyDescent="0.2">
      <c r="A10" s="11"/>
      <c r="B10" s="11"/>
      <c r="C10" s="109" t="s">
        <v>452</v>
      </c>
      <c r="D10" s="109"/>
      <c r="E10" s="109"/>
      <c r="F10" s="109"/>
      <c r="G10" s="109"/>
      <c r="H10" s="109"/>
      <c r="I10" s="109"/>
      <c r="J10" s="11"/>
      <c r="K10" s="102" t="str">
        <f>IF(Source!AK15 &lt;&gt; "", Source!AK15, "")</f>
        <v/>
      </c>
      <c r="L10" s="102"/>
      <c r="M10" s="102"/>
    </row>
    <row r="11" spans="1:30" ht="14.25" x14ac:dyDescent="0.2">
      <c r="A11" s="96" t="s">
        <v>453</v>
      </c>
      <c r="B11" s="96"/>
      <c r="C11" s="110" t="str">
        <f>IF(Source!AX12&lt;&gt; "", Source!AX12, IF(Source!AJ12 &lt;&gt; "", Source!AJ12, ""))</f>
        <v/>
      </c>
      <c r="D11" s="110"/>
      <c r="E11" s="110"/>
      <c r="F11" s="110"/>
      <c r="G11" s="110"/>
      <c r="H11" s="110"/>
      <c r="I11" s="110"/>
      <c r="J11" s="10" t="s">
        <v>451</v>
      </c>
      <c r="K11" s="102"/>
      <c r="L11" s="102"/>
      <c r="M11" s="102"/>
      <c r="AD11" s="38" t="str">
        <f>IF(Source!AX12&lt;&gt; "", Source!AX12, IF(Source!AJ12 &lt;&gt; "", Source!AJ12, ""))</f>
        <v/>
      </c>
    </row>
    <row r="12" spans="1:30" ht="14.25" x14ac:dyDescent="0.2">
      <c r="A12" s="11"/>
      <c r="B12" s="11"/>
      <c r="C12" s="109" t="s">
        <v>452</v>
      </c>
      <c r="D12" s="109"/>
      <c r="E12" s="109"/>
      <c r="F12" s="109"/>
      <c r="G12" s="109"/>
      <c r="H12" s="109"/>
      <c r="I12" s="109"/>
      <c r="J12" s="11"/>
      <c r="K12" s="102" t="str">
        <f>IF(Source!AO15 &lt;&gt; "", Source!AO15, "")</f>
        <v/>
      </c>
      <c r="L12" s="102"/>
      <c r="M12" s="102"/>
    </row>
    <row r="13" spans="1:30" ht="14.25" x14ac:dyDescent="0.2">
      <c r="A13" s="96" t="s">
        <v>454</v>
      </c>
      <c r="B13" s="96"/>
      <c r="C13" s="110" t="str">
        <f>IF(Source!AY12&lt;&gt; "", Source!AY12, IF(Source!AN12 &lt;&gt; "", Source!AN12, ""))</f>
        <v/>
      </c>
      <c r="D13" s="110"/>
      <c r="E13" s="110"/>
      <c r="F13" s="110"/>
      <c r="G13" s="110"/>
      <c r="H13" s="110"/>
      <c r="I13" s="110"/>
      <c r="J13" s="10" t="s">
        <v>451</v>
      </c>
      <c r="K13" s="102"/>
      <c r="L13" s="102"/>
      <c r="M13" s="102"/>
      <c r="AD13" s="38" t="str">
        <f>IF(Source!AY12&lt;&gt; "", Source!AY12, IF(Source!AN12 &lt;&gt; "", Source!AN12, ""))</f>
        <v/>
      </c>
    </row>
    <row r="14" spans="1:30" ht="14.25" x14ac:dyDescent="0.2">
      <c r="A14" s="11"/>
      <c r="B14" s="11"/>
      <c r="C14" s="109" t="s">
        <v>452</v>
      </c>
      <c r="D14" s="109"/>
      <c r="E14" s="109"/>
      <c r="F14" s="109"/>
      <c r="G14" s="109"/>
      <c r="H14" s="109"/>
      <c r="I14" s="109"/>
      <c r="J14" s="11"/>
      <c r="K14" s="102" t="str">
        <f>IF(Source!CO15 &lt;&gt; "", Source!CO15, "")</f>
        <v/>
      </c>
      <c r="L14" s="102"/>
      <c r="M14" s="102"/>
    </row>
    <row r="15" spans="1:30" ht="28.5" x14ac:dyDescent="0.2">
      <c r="A15" s="96" t="s">
        <v>455</v>
      </c>
      <c r="B15" s="96"/>
      <c r="C15" s="110" t="s">
        <v>4</v>
      </c>
      <c r="D15" s="110"/>
      <c r="E15" s="110"/>
      <c r="F15" s="110"/>
      <c r="G15" s="110"/>
      <c r="H15" s="110"/>
      <c r="I15" s="110"/>
      <c r="J15" s="11"/>
      <c r="K15" s="102"/>
      <c r="L15" s="102"/>
      <c r="M15" s="102"/>
      <c r="AD15" s="38" t="s">
        <v>4</v>
      </c>
    </row>
    <row r="16" spans="1:30" ht="14.25" x14ac:dyDescent="0.2">
      <c r="A16" s="11"/>
      <c r="B16" s="11"/>
      <c r="C16" s="109" t="s">
        <v>456</v>
      </c>
      <c r="D16" s="109"/>
      <c r="E16" s="109"/>
      <c r="F16" s="109"/>
      <c r="G16" s="109"/>
      <c r="H16" s="109"/>
      <c r="I16" s="109"/>
      <c r="J16" s="11"/>
      <c r="K16" s="102" t="str">
        <f>IF(Source!CP15 &lt;&gt; "", Source!CP15, "")</f>
        <v/>
      </c>
      <c r="L16" s="102"/>
      <c r="M16" s="102"/>
    </row>
    <row r="17" spans="1:30" ht="28.5" x14ac:dyDescent="0.2">
      <c r="A17" s="96" t="s">
        <v>457</v>
      </c>
      <c r="B17" s="96"/>
      <c r="C17" s="110" t="str">
        <f>Source!G12</f>
        <v>Строительство КЛ-0,4 кВ от ТП-6/0,4 кВ до ВРУ-0,4 кВ многоквартирного жилого дома поз.5 в микрорайоне "Акварель", г. Чебоксары, к.н. 21:01:010901:3323</v>
      </c>
      <c r="D17" s="110"/>
      <c r="E17" s="110"/>
      <c r="F17" s="110"/>
      <c r="G17" s="110"/>
      <c r="H17" s="110"/>
      <c r="I17" s="110"/>
      <c r="J17" s="11"/>
      <c r="K17" s="102"/>
      <c r="L17" s="102"/>
      <c r="M17" s="102"/>
      <c r="AD17" s="38" t="str">
        <f>Source!G12</f>
        <v>Строительство КЛ-0,4 кВ от ТП-6/0,4 кВ до ВРУ-0,4 кВ многоквартирного жилого дома поз.5 в микрорайоне "Акварель", г. Чебоксары, к.н. 21:01:010901:3323</v>
      </c>
    </row>
    <row r="18" spans="1:30" ht="14.25" x14ac:dyDescent="0.2">
      <c r="A18" s="11"/>
      <c r="B18" s="11"/>
      <c r="C18" s="109" t="s">
        <v>458</v>
      </c>
      <c r="D18" s="109"/>
      <c r="E18" s="109"/>
      <c r="F18" s="109"/>
      <c r="G18" s="109"/>
      <c r="H18" s="109"/>
      <c r="I18" s="109"/>
      <c r="J18" s="11"/>
      <c r="K18" s="11"/>
      <c r="L18" s="11"/>
      <c r="M18" s="11"/>
    </row>
    <row r="19" spans="1:30" ht="14.25" x14ac:dyDescent="0.2">
      <c r="A19" s="11"/>
      <c r="B19" s="11"/>
      <c r="C19" s="11"/>
      <c r="D19" s="11"/>
      <c r="E19" s="11"/>
      <c r="F19" s="11"/>
      <c r="G19" s="11"/>
      <c r="H19" s="89" t="s">
        <v>459</v>
      </c>
      <c r="I19" s="89"/>
      <c r="J19" s="111"/>
      <c r="K19" s="102" t="str">
        <f>IF(Source!CQ15 &lt;&gt; "", Source!CQ15, "")</f>
        <v/>
      </c>
      <c r="L19" s="102"/>
      <c r="M19" s="102"/>
    </row>
    <row r="20" spans="1:30" ht="14.25" x14ac:dyDescent="0.2">
      <c r="A20" s="11"/>
      <c r="B20" s="11"/>
      <c r="C20" s="11"/>
      <c r="D20" s="11"/>
      <c r="E20" s="11"/>
      <c r="F20" s="11"/>
      <c r="G20" s="11"/>
      <c r="H20" s="89" t="s">
        <v>460</v>
      </c>
      <c r="I20" s="101"/>
      <c r="J20" s="66" t="s">
        <v>461</v>
      </c>
      <c r="K20" s="102" t="str">
        <f>IF(Source!CR15 &lt;&gt; "", Source!CR15, "")</f>
        <v/>
      </c>
      <c r="L20" s="102"/>
      <c r="M20" s="102"/>
    </row>
    <row r="21" spans="1:30" ht="14.25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9" t="s">
        <v>462</v>
      </c>
      <c r="K21" s="103" t="str">
        <f>IF(Source!CS15 &lt;&gt; 0, Source!CS15, "")</f>
        <v/>
      </c>
      <c r="L21" s="103"/>
      <c r="M21" s="103"/>
    </row>
    <row r="22" spans="1:30" ht="14.2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0" t="s">
        <v>463</v>
      </c>
      <c r="K22" s="102" t="str">
        <f>IF(Source!CT15 &lt;&gt; "", Source!CT15, "")</f>
        <v/>
      </c>
      <c r="L22" s="102"/>
      <c r="M22" s="102"/>
    </row>
    <row r="23" spans="1:30" ht="14.2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30" ht="14.25" x14ac:dyDescent="0.2">
      <c r="A24" s="11"/>
      <c r="B24" s="11"/>
      <c r="C24" s="11"/>
      <c r="D24" s="11"/>
      <c r="E24" s="11"/>
      <c r="F24" s="11"/>
      <c r="G24" s="104" t="s">
        <v>464</v>
      </c>
      <c r="H24" s="106" t="s">
        <v>465</v>
      </c>
      <c r="I24" s="106" t="s">
        <v>466</v>
      </c>
      <c r="J24" s="108"/>
      <c r="K24" s="11"/>
      <c r="L24" s="11"/>
      <c r="M24" s="11"/>
    </row>
    <row r="25" spans="1:30" ht="14.25" x14ac:dyDescent="0.2">
      <c r="A25" s="11"/>
      <c r="B25" s="11"/>
      <c r="C25" s="11"/>
      <c r="D25" s="11"/>
      <c r="E25" s="11"/>
      <c r="F25" s="11"/>
      <c r="G25" s="105"/>
      <c r="H25" s="107"/>
      <c r="I25" s="67" t="s">
        <v>467</v>
      </c>
      <c r="J25" s="68" t="s">
        <v>468</v>
      </c>
      <c r="K25" s="11"/>
      <c r="L25" s="11"/>
      <c r="M25" s="11"/>
    </row>
    <row r="26" spans="1:30" ht="14.25" x14ac:dyDescent="0.2">
      <c r="A26" s="11"/>
      <c r="B26" s="11"/>
      <c r="C26" s="11"/>
      <c r="D26" s="11"/>
      <c r="E26" s="11"/>
      <c r="F26" s="11"/>
      <c r="G26" s="19" t="str">
        <f>IF(Source!CN15 &lt;&gt; "", Source!CN15, "")</f>
        <v/>
      </c>
      <c r="H26" s="69">
        <v>45484.595486111109</v>
      </c>
      <c r="I26" s="19"/>
      <c r="J26" s="20"/>
      <c r="K26" s="11"/>
      <c r="L26" s="11"/>
      <c r="M26" s="11"/>
    </row>
    <row r="27" spans="1:30" ht="14.25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30" ht="18" x14ac:dyDescent="0.25">
      <c r="A28" s="11"/>
      <c r="B28" s="99" t="s">
        <v>469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</row>
    <row r="29" spans="1:30" ht="18" x14ac:dyDescent="0.25">
      <c r="A29" s="11"/>
      <c r="B29" s="99" t="s">
        <v>470</v>
      </c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</row>
    <row r="30" spans="1:30" ht="14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30" x14ac:dyDescent="0.2">
      <c r="A31" s="100" t="s">
        <v>473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</row>
    <row r="32" spans="1:30" ht="14.25" x14ac:dyDescent="0.2">
      <c r="A32" s="98" t="s">
        <v>471</v>
      </c>
      <c r="B32" s="98"/>
      <c r="C32" s="98" t="s">
        <v>406</v>
      </c>
      <c r="D32" s="98" t="s">
        <v>407</v>
      </c>
      <c r="E32" s="98" t="s">
        <v>408</v>
      </c>
      <c r="F32" s="98" t="s">
        <v>409</v>
      </c>
      <c r="G32" s="98" t="s">
        <v>410</v>
      </c>
      <c r="H32" s="98" t="s">
        <v>411</v>
      </c>
      <c r="I32" s="98" t="s">
        <v>412</v>
      </c>
      <c r="J32" s="98" t="s">
        <v>413</v>
      </c>
      <c r="K32" s="98" t="s">
        <v>414</v>
      </c>
      <c r="L32" s="98" t="s">
        <v>415</v>
      </c>
      <c r="M32" s="98" t="s">
        <v>416</v>
      </c>
    </row>
    <row r="33" spans="1:26" ht="57" x14ac:dyDescent="0.2">
      <c r="A33" s="18" t="s">
        <v>405</v>
      </c>
      <c r="B33" s="18" t="s">
        <v>472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1:26" ht="14.25" x14ac:dyDescent="0.2">
      <c r="A34" s="70">
        <v>1</v>
      </c>
      <c r="B34" s="70">
        <v>2</v>
      </c>
      <c r="C34" s="70">
        <v>3</v>
      </c>
      <c r="D34" s="70">
        <v>4</v>
      </c>
      <c r="E34" s="70">
        <v>5</v>
      </c>
      <c r="F34" s="70">
        <v>6</v>
      </c>
      <c r="G34" s="70">
        <v>7</v>
      </c>
      <c r="H34" s="70">
        <v>8</v>
      </c>
      <c r="I34" s="70">
        <v>9</v>
      </c>
      <c r="J34" s="70">
        <v>10</v>
      </c>
      <c r="K34" s="70">
        <v>11</v>
      </c>
      <c r="L34" s="70">
        <v>12</v>
      </c>
      <c r="M34" s="70">
        <v>13</v>
      </c>
    </row>
    <row r="35" spans="1:26" ht="71.25" x14ac:dyDescent="0.2">
      <c r="A35" s="24">
        <v>1</v>
      </c>
      <c r="B35" s="24" t="str">
        <f>Source!E24</f>
        <v>1</v>
      </c>
      <c r="C35" s="25" t="str">
        <f>Source!F24</f>
        <v>01-01-004-5</v>
      </c>
      <c r="D35" s="23" t="str">
        <f>Source!G24</f>
        <v>Разработка грунта в отвал экскаваторами «драглайн» или «обратная лопата» с ковшом вместимостью 0,25 м3, группа грунтов 2</v>
      </c>
      <c r="E35" s="26" t="str">
        <f>Source!H24</f>
        <v>1000 м3 грунта</v>
      </c>
      <c r="F35" s="10">
        <f>Source!I24</f>
        <v>2.2679999999999999E-2</v>
      </c>
      <c r="G35" s="28">
        <f>IF(Source!AK24&lt;&gt; 0, Source!AK24,Source!AL24 + Source!AM24 + Source!AO24)</f>
        <v>4441.99</v>
      </c>
      <c r="H35" s="27"/>
      <c r="I35" s="28"/>
      <c r="J35" s="27" t="str">
        <f>Source!BO24</f>
        <v>01-01-004-5</v>
      </c>
      <c r="K35" s="27"/>
      <c r="L35" s="28"/>
      <c r="M35" s="29"/>
      <c r="S35">
        <f>ROUND((Source!FX24/100)*((ROUND(Source!AF24*Source!I24, 2)+ROUND(Source!AE24*Source!I24, 2))), 2)</f>
        <v>14.65</v>
      </c>
      <c r="T35">
        <f>Source!X24</f>
        <v>484.49</v>
      </c>
      <c r="U35">
        <f>ROUND((Source!FY24/100)*((ROUND(Source!AF24*Source!I24, 2)+ROUND(Source!AE24*Source!I24, 2))), 2)</f>
        <v>7.32</v>
      </c>
      <c r="V35">
        <f>Source!Y24</f>
        <v>242.25</v>
      </c>
    </row>
    <row r="36" spans="1:26" x14ac:dyDescent="0.2">
      <c r="D36" s="30" t="str">
        <f>"Объем: "&amp;Source!I24&amp;"=22,68/"&amp;"1000"</f>
        <v>Объем: 0,02268=22,68/1000</v>
      </c>
    </row>
    <row r="37" spans="1:26" ht="14.25" x14ac:dyDescent="0.2">
      <c r="A37" s="24"/>
      <c r="B37" s="24"/>
      <c r="C37" s="25"/>
      <c r="D37" s="23" t="s">
        <v>418</v>
      </c>
      <c r="E37" s="26"/>
      <c r="F37" s="10"/>
      <c r="G37" s="28">
        <f>Source!AO24</f>
        <v>93.75</v>
      </c>
      <c r="H37" s="27" t="str">
        <f>Source!DG24</f>
        <v/>
      </c>
      <c r="I37" s="28">
        <f>ROUND(Source!AF24*Source!I24, 2)</f>
        <v>2.13</v>
      </c>
      <c r="J37" s="27"/>
      <c r="K37" s="27">
        <f>IF(Source!BA24&lt;&gt; 0, Source!BA24, 1)</f>
        <v>33.08</v>
      </c>
      <c r="L37" s="28">
        <f>Source!S24</f>
        <v>70.34</v>
      </c>
      <c r="M37" s="29"/>
      <c r="R37">
        <f>I37</f>
        <v>2.13</v>
      </c>
    </row>
    <row r="38" spans="1:26" ht="14.25" x14ac:dyDescent="0.2">
      <c r="A38" s="24"/>
      <c r="B38" s="24"/>
      <c r="C38" s="25"/>
      <c r="D38" s="23" t="s">
        <v>207</v>
      </c>
      <c r="E38" s="26"/>
      <c r="F38" s="10"/>
      <c r="G38" s="28">
        <f>Source!AM24</f>
        <v>4348.24</v>
      </c>
      <c r="H38" s="27" t="str">
        <f>Source!DE24</f>
        <v/>
      </c>
      <c r="I38" s="28">
        <f>ROUND((((Source!ET24)-(Source!EU24))+Source!AE24)*Source!I24, 2)</f>
        <v>98.62</v>
      </c>
      <c r="J38" s="27"/>
      <c r="K38" s="27">
        <f>IF(Source!BB24&lt;&gt; 0, Source!BB24, 1)</f>
        <v>18.05</v>
      </c>
      <c r="L38" s="28">
        <f>Source!Q24</f>
        <v>1780.06</v>
      </c>
      <c r="M38" s="29"/>
    </row>
    <row r="39" spans="1:26" ht="14.25" x14ac:dyDescent="0.2">
      <c r="A39" s="24"/>
      <c r="B39" s="24"/>
      <c r="C39" s="25"/>
      <c r="D39" s="23" t="s">
        <v>419</v>
      </c>
      <c r="E39" s="26"/>
      <c r="F39" s="10"/>
      <c r="G39" s="28">
        <f>Source!AN24</f>
        <v>608.16999999999996</v>
      </c>
      <c r="H39" s="27" t="str">
        <f>Source!DF24</f>
        <v/>
      </c>
      <c r="I39" s="28">
        <f>ROUND(Source!AE24*Source!I24, 2)</f>
        <v>13.79</v>
      </c>
      <c r="J39" s="27"/>
      <c r="K39" s="27">
        <f>IF(Source!BS24&lt;&gt; 0, Source!BS24, 1)</f>
        <v>33.08</v>
      </c>
      <c r="L39" s="28">
        <f>Source!R24</f>
        <v>456.28</v>
      </c>
      <c r="M39" s="29"/>
      <c r="R39">
        <f>I39</f>
        <v>13.79</v>
      </c>
    </row>
    <row r="40" spans="1:26" ht="14.25" x14ac:dyDescent="0.2">
      <c r="A40" s="24"/>
      <c r="B40" s="24"/>
      <c r="C40" s="25"/>
      <c r="D40" s="23" t="s">
        <v>420</v>
      </c>
      <c r="E40" s="26" t="s">
        <v>421</v>
      </c>
      <c r="F40" s="10">
        <f>Source!BZ24</f>
        <v>92</v>
      </c>
      <c r="G40" s="31"/>
      <c r="H40" s="27"/>
      <c r="I40" s="28">
        <f>SUM(S35:S42)</f>
        <v>14.65</v>
      </c>
      <c r="J40" s="32"/>
      <c r="K40" s="23">
        <f>Source!AT24</f>
        <v>92</v>
      </c>
      <c r="L40" s="28">
        <f>SUM(T35:T42)</f>
        <v>484.49</v>
      </c>
      <c r="M40" s="29"/>
    </row>
    <row r="41" spans="1:26" ht="14.25" x14ac:dyDescent="0.2">
      <c r="A41" s="24"/>
      <c r="B41" s="24"/>
      <c r="C41" s="25"/>
      <c r="D41" s="23" t="s">
        <v>422</v>
      </c>
      <c r="E41" s="26" t="s">
        <v>421</v>
      </c>
      <c r="F41" s="10">
        <f>Source!CA24</f>
        <v>46</v>
      </c>
      <c r="G41" s="31"/>
      <c r="H41" s="27"/>
      <c r="I41" s="28">
        <f>SUM(U35:U42)</f>
        <v>7.32</v>
      </c>
      <c r="J41" s="32"/>
      <c r="K41" s="23">
        <f>Source!AU24</f>
        <v>46</v>
      </c>
      <c r="L41" s="28">
        <f>SUM(V35:V42)</f>
        <v>242.25</v>
      </c>
      <c r="M41" s="29"/>
    </row>
    <row r="42" spans="1:26" ht="14.25" x14ac:dyDescent="0.2">
      <c r="A42" s="36"/>
      <c r="B42" s="36"/>
      <c r="C42" s="37"/>
      <c r="D42" s="38" t="s">
        <v>423</v>
      </c>
      <c r="E42" s="39" t="s">
        <v>424</v>
      </c>
      <c r="F42" s="40">
        <f>Source!AQ24</f>
        <v>12.86</v>
      </c>
      <c r="G42" s="41"/>
      <c r="H42" s="42" t="str">
        <f>Source!DI24</f>
        <v/>
      </c>
      <c r="I42" s="41"/>
      <c r="J42" s="42"/>
      <c r="K42" s="42"/>
      <c r="L42" s="41"/>
      <c r="M42" s="43">
        <f>Source!U24</f>
        <v>0.29166479999999995</v>
      </c>
    </row>
    <row r="43" spans="1:26" ht="15" x14ac:dyDescent="0.25">
      <c r="H43" s="87">
        <f>ROUND(Source!AC24*Source!I24, 2)+ROUND(Source!AF24*Source!I24, 2)+ROUND((((Source!ET24)-(Source!EU24))+Source!AE24)*Source!I24, 2)+SUM(I40:I41)</f>
        <v>122.72</v>
      </c>
      <c r="I43" s="87"/>
      <c r="K43" s="87">
        <f>Source!O24+SUM(L40:L41)</f>
        <v>2577.1400000000003</v>
      </c>
      <c r="L43" s="87"/>
      <c r="M43" s="35">
        <f>Source!U24</f>
        <v>0.29166479999999995</v>
      </c>
      <c r="O43" s="34">
        <f>H43</f>
        <v>122.72</v>
      </c>
      <c r="P43" s="34">
        <f>K43</f>
        <v>2577.1400000000003</v>
      </c>
      <c r="Q43" s="34">
        <f>M43</f>
        <v>0.29166479999999995</v>
      </c>
      <c r="W43">
        <f>IF(Source!BI24&lt;=1,H43, 0)</f>
        <v>122.72</v>
      </c>
      <c r="X43">
        <f>IF(Source!BI24=2,H43, 0)</f>
        <v>0</v>
      </c>
      <c r="Y43">
        <f>IF(Source!BI24=3,H43, 0)</f>
        <v>0</v>
      </c>
      <c r="Z43">
        <f>IF(Source!BI24=4,H43, 0)</f>
        <v>0</v>
      </c>
    </row>
    <row r="44" spans="1:26" ht="42.75" x14ac:dyDescent="0.2">
      <c r="A44" s="24">
        <v>2</v>
      </c>
      <c r="B44" s="24" t="str">
        <f>Source!E25</f>
        <v>2</v>
      </c>
      <c r="C44" s="25" t="str">
        <f>Source!F25</f>
        <v>01-02-057-2</v>
      </c>
      <c r="D44" s="23" t="str">
        <f>Source!G25</f>
        <v>Разработка грунта вручную в траншеях глубиной до 2 м без креплений с откосами, группа грунтов 2</v>
      </c>
      <c r="E44" s="26" t="str">
        <f>Source!H25</f>
        <v>100 м3 грунта</v>
      </c>
      <c r="F44" s="10">
        <f>Source!I25</f>
        <v>9.7199999999999995E-2</v>
      </c>
      <c r="G44" s="28">
        <f>IF(Source!AK25&lt;&gt; 0, Source!AK25,Source!AL25 + Source!AM25 + Source!AO25)</f>
        <v>1122.6600000000001</v>
      </c>
      <c r="H44" s="27"/>
      <c r="I44" s="28"/>
      <c r="J44" s="27" t="str">
        <f>Source!BO25</f>
        <v>01-02-057-2</v>
      </c>
      <c r="K44" s="27"/>
      <c r="L44" s="28"/>
      <c r="M44" s="29"/>
      <c r="S44">
        <f>ROUND((Source!FX25/100)*((ROUND(Source!AF25*Source!I25, 2)+ROUND(Source!AE25*Source!I25, 2))), 2)</f>
        <v>97.12</v>
      </c>
      <c r="T44">
        <f>Source!X25</f>
        <v>3212.7</v>
      </c>
      <c r="U44">
        <f>ROUND((Source!FY25/100)*((ROUND(Source!AF25*Source!I25, 2)+ROUND(Source!AE25*Source!I25, 2))), 2)</f>
        <v>43.65</v>
      </c>
      <c r="V44">
        <f>Source!Y25</f>
        <v>1443.91</v>
      </c>
    </row>
    <row r="45" spans="1:26" x14ac:dyDescent="0.2">
      <c r="D45" s="30" t="str">
        <f>"Объем: "&amp;Source!I25&amp;"=9,72/"&amp;"100"</f>
        <v>Объем: 0,0972=9,72/100</v>
      </c>
    </row>
    <row r="46" spans="1:26" ht="14.25" x14ac:dyDescent="0.2">
      <c r="A46" s="24"/>
      <c r="B46" s="24"/>
      <c r="C46" s="25"/>
      <c r="D46" s="23" t="s">
        <v>418</v>
      </c>
      <c r="E46" s="26"/>
      <c r="F46" s="10"/>
      <c r="G46" s="28">
        <f>Source!AO25</f>
        <v>1122.6600000000001</v>
      </c>
      <c r="H46" s="27" t="str">
        <f>Source!DG25</f>
        <v/>
      </c>
      <c r="I46" s="28">
        <f>ROUND(Source!AF25*Source!I25, 2)</f>
        <v>109.12</v>
      </c>
      <c r="J46" s="27"/>
      <c r="K46" s="27">
        <f>IF(Source!BA25&lt;&gt; 0, Source!BA25, 1)</f>
        <v>33.08</v>
      </c>
      <c r="L46" s="28">
        <f>Source!S25</f>
        <v>3609.77</v>
      </c>
      <c r="M46" s="29"/>
      <c r="R46">
        <f>I46</f>
        <v>109.12</v>
      </c>
    </row>
    <row r="47" spans="1:26" ht="14.25" x14ac:dyDescent="0.2">
      <c r="A47" s="24"/>
      <c r="B47" s="24"/>
      <c r="C47" s="25"/>
      <c r="D47" s="23" t="s">
        <v>420</v>
      </c>
      <c r="E47" s="26" t="s">
        <v>421</v>
      </c>
      <c r="F47" s="10">
        <f>Source!BZ25</f>
        <v>89</v>
      </c>
      <c r="G47" s="31"/>
      <c r="H47" s="27"/>
      <c r="I47" s="28">
        <f>SUM(S44:S49)</f>
        <v>97.12</v>
      </c>
      <c r="J47" s="32"/>
      <c r="K47" s="23">
        <f>Source!AT25</f>
        <v>89</v>
      </c>
      <c r="L47" s="28">
        <f>SUM(T44:T49)</f>
        <v>3212.7</v>
      </c>
      <c r="M47" s="29"/>
    </row>
    <row r="48" spans="1:26" ht="14.25" x14ac:dyDescent="0.2">
      <c r="A48" s="24"/>
      <c r="B48" s="24"/>
      <c r="C48" s="25"/>
      <c r="D48" s="23" t="s">
        <v>422</v>
      </c>
      <c r="E48" s="26" t="s">
        <v>421</v>
      </c>
      <c r="F48" s="10">
        <f>Source!CA25</f>
        <v>40</v>
      </c>
      <c r="G48" s="31"/>
      <c r="H48" s="27"/>
      <c r="I48" s="28">
        <f>SUM(U44:U49)</f>
        <v>43.65</v>
      </c>
      <c r="J48" s="32"/>
      <c r="K48" s="23">
        <f>Source!AU25</f>
        <v>40</v>
      </c>
      <c r="L48" s="28">
        <f>SUM(V44:V49)</f>
        <v>1443.91</v>
      </c>
      <c r="M48" s="29"/>
    </row>
    <row r="49" spans="1:26" ht="14.25" x14ac:dyDescent="0.2">
      <c r="A49" s="36"/>
      <c r="B49" s="36"/>
      <c r="C49" s="37"/>
      <c r="D49" s="38" t="s">
        <v>423</v>
      </c>
      <c r="E49" s="39" t="s">
        <v>424</v>
      </c>
      <c r="F49" s="40">
        <f>Source!AQ25</f>
        <v>154</v>
      </c>
      <c r="G49" s="41"/>
      <c r="H49" s="42" t="str">
        <f>Source!DI25</f>
        <v/>
      </c>
      <c r="I49" s="41"/>
      <c r="J49" s="42"/>
      <c r="K49" s="42"/>
      <c r="L49" s="41"/>
      <c r="M49" s="43">
        <f>Source!U25</f>
        <v>14.9688</v>
      </c>
    </row>
    <row r="50" spans="1:26" ht="15" x14ac:dyDescent="0.25">
      <c r="H50" s="87">
        <f>ROUND(Source!AC25*Source!I25, 2)+ROUND(Source!AF25*Source!I25, 2)+ROUND((((Source!ET25)-(Source!EU25))+Source!AE25)*Source!I25, 2)+SUM(I47:I48)</f>
        <v>249.89000000000001</v>
      </c>
      <c r="I50" s="87"/>
      <c r="K50" s="87">
        <f>Source!O25+SUM(L47:L48)</f>
        <v>8266.3799999999992</v>
      </c>
      <c r="L50" s="87"/>
      <c r="M50" s="35">
        <f>Source!U25</f>
        <v>14.9688</v>
      </c>
      <c r="O50" s="34">
        <f>H50</f>
        <v>249.89000000000001</v>
      </c>
      <c r="P50" s="34">
        <f>K50</f>
        <v>8266.3799999999992</v>
      </c>
      <c r="Q50" s="34">
        <f>M50</f>
        <v>14.9688</v>
      </c>
      <c r="W50">
        <f>IF(Source!BI25&lt;=1,H50, 0)</f>
        <v>249.89000000000001</v>
      </c>
      <c r="X50">
        <f>IF(Source!BI25=2,H50, 0)</f>
        <v>0</v>
      </c>
      <c r="Y50">
        <f>IF(Source!BI25=3,H50, 0)</f>
        <v>0</v>
      </c>
      <c r="Z50">
        <f>IF(Source!BI25=4,H50, 0)</f>
        <v>0</v>
      </c>
    </row>
    <row r="51" spans="1:26" ht="57" x14ac:dyDescent="0.2">
      <c r="A51" s="24">
        <v>3</v>
      </c>
      <c r="B51" s="24" t="str">
        <f>Source!E26</f>
        <v>3</v>
      </c>
      <c r="C51" s="25" t="str">
        <f>Source!F26</f>
        <v>01-01-033-2</v>
      </c>
      <c r="D51" s="23" t="str">
        <f>Source!G26</f>
        <v>Засыпка траншей и котлованов с перемещением грунта до 5 м бульдозерами мощностью 59 кВт (80 л.с.), группа грунтов 2</v>
      </c>
      <c r="E51" s="26" t="str">
        <f>Source!H26</f>
        <v>1000 м3 грунта</v>
      </c>
      <c r="F51" s="10">
        <f>Source!I26</f>
        <v>2.2679999999999999E-2</v>
      </c>
      <c r="G51" s="28">
        <f>IF(Source!AK26&lt;&gt; 0, Source!AK26,Source!AL26 + Source!AM26 + Source!AO26)</f>
        <v>909.09</v>
      </c>
      <c r="H51" s="27"/>
      <c r="I51" s="28"/>
      <c r="J51" s="27" t="str">
        <f>Source!BO26</f>
        <v>01-01-033-2</v>
      </c>
      <c r="K51" s="27"/>
      <c r="L51" s="28"/>
      <c r="M51" s="29"/>
      <c r="S51">
        <f>ROUND((Source!FX26/100)*((ROUND(Source!AF26*Source!I26, 2)+ROUND(Source!AE26*Source!I26, 2))), 2)</f>
        <v>1.91</v>
      </c>
      <c r="T51">
        <f>Source!X26</f>
        <v>63.36</v>
      </c>
      <c r="U51">
        <f>ROUND((Source!FY26/100)*((ROUND(Source!AF26*Source!I26, 2)+ROUND(Source!AE26*Source!I26, 2))), 2)</f>
        <v>0.96</v>
      </c>
      <c r="V51">
        <f>Source!Y26</f>
        <v>31.68</v>
      </c>
    </row>
    <row r="52" spans="1:26" x14ac:dyDescent="0.2">
      <c r="D52" s="30" t="str">
        <f>"Объем: "&amp;Source!I26&amp;"=22,68/"&amp;"1000"</f>
        <v>Объем: 0,02268=22,68/1000</v>
      </c>
    </row>
    <row r="53" spans="1:26" ht="14.25" x14ac:dyDescent="0.2">
      <c r="A53" s="24"/>
      <c r="B53" s="24"/>
      <c r="C53" s="25"/>
      <c r="D53" s="23" t="s">
        <v>207</v>
      </c>
      <c r="E53" s="26"/>
      <c r="F53" s="10"/>
      <c r="G53" s="28">
        <f>Source!AM26</f>
        <v>909.09</v>
      </c>
      <c r="H53" s="27" t="str">
        <f>Source!DE26</f>
        <v/>
      </c>
      <c r="I53" s="28">
        <f>ROUND((((Source!ET26)-(Source!EU26))+Source!AE26)*Source!I26, 2)</f>
        <v>20.62</v>
      </c>
      <c r="J53" s="27"/>
      <c r="K53" s="27">
        <f>IF(Source!BB26&lt;&gt; 0, Source!BB26, 1)</f>
        <v>14.54</v>
      </c>
      <c r="L53" s="28">
        <f>Source!Q26</f>
        <v>299.79000000000002</v>
      </c>
      <c r="M53" s="29"/>
    </row>
    <row r="54" spans="1:26" ht="14.25" x14ac:dyDescent="0.2">
      <c r="A54" s="24"/>
      <c r="B54" s="24"/>
      <c r="C54" s="25"/>
      <c r="D54" s="23" t="s">
        <v>419</v>
      </c>
      <c r="E54" s="26"/>
      <c r="F54" s="10"/>
      <c r="G54" s="28">
        <f>Source!AN26</f>
        <v>91.8</v>
      </c>
      <c r="H54" s="27" t="str">
        <f>Source!DF26</f>
        <v/>
      </c>
      <c r="I54" s="28">
        <f>ROUND(Source!AE26*Source!I26, 2)</f>
        <v>2.08</v>
      </c>
      <c r="J54" s="27"/>
      <c r="K54" s="27">
        <f>IF(Source!BS26&lt;&gt; 0, Source!BS26, 1)</f>
        <v>33.08</v>
      </c>
      <c r="L54" s="28">
        <f>Source!R26</f>
        <v>68.87</v>
      </c>
      <c r="M54" s="29"/>
      <c r="R54">
        <f>I54</f>
        <v>2.08</v>
      </c>
    </row>
    <row r="55" spans="1:26" ht="14.25" x14ac:dyDescent="0.2">
      <c r="A55" s="24"/>
      <c r="B55" s="24"/>
      <c r="C55" s="25"/>
      <c r="D55" s="23" t="s">
        <v>420</v>
      </c>
      <c r="E55" s="26" t="s">
        <v>421</v>
      </c>
      <c r="F55" s="10">
        <f>Source!BZ26</f>
        <v>92</v>
      </c>
      <c r="G55" s="31"/>
      <c r="H55" s="27"/>
      <c r="I55" s="28">
        <f>SUM(S51:S56)</f>
        <v>1.91</v>
      </c>
      <c r="J55" s="32"/>
      <c r="K55" s="23">
        <f>Source!AT26</f>
        <v>92</v>
      </c>
      <c r="L55" s="28">
        <f>SUM(T51:T56)</f>
        <v>63.36</v>
      </c>
      <c r="M55" s="29"/>
    </row>
    <row r="56" spans="1:26" ht="14.25" x14ac:dyDescent="0.2">
      <c r="A56" s="36"/>
      <c r="B56" s="36"/>
      <c r="C56" s="37"/>
      <c r="D56" s="38" t="s">
        <v>422</v>
      </c>
      <c r="E56" s="39" t="s">
        <v>421</v>
      </c>
      <c r="F56" s="40">
        <f>Source!CA26</f>
        <v>46</v>
      </c>
      <c r="G56" s="44"/>
      <c r="H56" s="42"/>
      <c r="I56" s="41">
        <f>SUM(U51:U56)</f>
        <v>0.96</v>
      </c>
      <c r="J56" s="45"/>
      <c r="K56" s="38">
        <f>Source!AU26</f>
        <v>46</v>
      </c>
      <c r="L56" s="41">
        <f>SUM(V51:V56)</f>
        <v>31.68</v>
      </c>
      <c r="M56" s="46"/>
    </row>
    <row r="57" spans="1:26" ht="15" x14ac:dyDescent="0.25">
      <c r="H57" s="87">
        <f>ROUND(Source!AC26*Source!I26, 2)+ROUND(Source!AF26*Source!I26, 2)+ROUND((((Source!ET26)-(Source!EU26))+Source!AE26)*Source!I26, 2)+SUM(I55:I56)</f>
        <v>23.490000000000002</v>
      </c>
      <c r="I57" s="87"/>
      <c r="K57" s="87">
        <f>Source!O26+SUM(L55:L56)</f>
        <v>394.83000000000004</v>
      </c>
      <c r="L57" s="87"/>
      <c r="M57" s="35">
        <f>Source!U26</f>
        <v>0</v>
      </c>
      <c r="O57" s="34">
        <f>H57</f>
        <v>23.490000000000002</v>
      </c>
      <c r="P57" s="34">
        <f>K57</f>
        <v>394.83000000000004</v>
      </c>
      <c r="Q57" s="34">
        <f>M57</f>
        <v>0</v>
      </c>
      <c r="W57">
        <f>IF(Source!BI26&lt;=1,H57, 0)</f>
        <v>23.490000000000002</v>
      </c>
      <c r="X57">
        <f>IF(Source!BI26=2,H57, 0)</f>
        <v>0</v>
      </c>
      <c r="Y57">
        <f>IF(Source!BI26=3,H57, 0)</f>
        <v>0</v>
      </c>
      <c r="Z57">
        <f>IF(Source!BI26=4,H57, 0)</f>
        <v>0</v>
      </c>
    </row>
    <row r="58" spans="1:26" ht="28.5" x14ac:dyDescent="0.2">
      <c r="A58" s="24">
        <v>4</v>
      </c>
      <c r="B58" s="24" t="str">
        <f>Source!E27</f>
        <v>4</v>
      </c>
      <c r="C58" s="25" t="str">
        <f>Source!F27</f>
        <v>01-02-061-2</v>
      </c>
      <c r="D58" s="23" t="str">
        <f>Source!G27</f>
        <v>Засыпка вручную траншей, пазух котлованов и ям, группа грунтов 2</v>
      </c>
      <c r="E58" s="26" t="str">
        <f>Source!H27</f>
        <v>100 м3 грунта</v>
      </c>
      <c r="F58" s="10">
        <f>Source!I27</f>
        <v>9.7199999999999995E-2</v>
      </c>
      <c r="G58" s="28">
        <f>IF(Source!AK27&lt;&gt; 0, Source!AK27,Source!AL27 + Source!AM27 + Source!AO27)</f>
        <v>681.37</v>
      </c>
      <c r="H58" s="27"/>
      <c r="I58" s="28"/>
      <c r="J58" s="27" t="str">
        <f>Source!BO27</f>
        <v>01-02-061-2</v>
      </c>
      <c r="K58" s="27"/>
      <c r="L58" s="28"/>
      <c r="M58" s="29"/>
      <c r="S58">
        <f>ROUND((Source!FX27/100)*((ROUND(Source!AF27*Source!I27, 2)+ROUND(Source!AE27*Source!I27, 2))), 2)</f>
        <v>58.94</v>
      </c>
      <c r="T58">
        <f>Source!X27</f>
        <v>1949.87</v>
      </c>
      <c r="U58">
        <f>ROUND((Source!FY27/100)*((ROUND(Source!AF27*Source!I27, 2)+ROUND(Source!AE27*Source!I27, 2))), 2)</f>
        <v>26.49</v>
      </c>
      <c r="V58">
        <f>Source!Y27</f>
        <v>876.34</v>
      </c>
    </row>
    <row r="59" spans="1:26" x14ac:dyDescent="0.2">
      <c r="D59" s="30" t="str">
        <f>"Объем: "&amp;Source!I27&amp;"=9,72/"&amp;"100"</f>
        <v>Объем: 0,0972=9,72/100</v>
      </c>
    </row>
    <row r="60" spans="1:26" ht="14.25" x14ac:dyDescent="0.2">
      <c r="A60" s="24"/>
      <c r="B60" s="24"/>
      <c r="C60" s="25"/>
      <c r="D60" s="23" t="s">
        <v>418</v>
      </c>
      <c r="E60" s="26"/>
      <c r="F60" s="10"/>
      <c r="G60" s="28">
        <f>Source!AO27</f>
        <v>681.37</v>
      </c>
      <c r="H60" s="27" t="str">
        <f>Source!DG27</f>
        <v/>
      </c>
      <c r="I60" s="28">
        <f>ROUND(Source!AF27*Source!I27, 2)</f>
        <v>66.23</v>
      </c>
      <c r="J60" s="27"/>
      <c r="K60" s="27">
        <f>IF(Source!BA27&lt;&gt; 0, Source!BA27, 1)</f>
        <v>33.08</v>
      </c>
      <c r="L60" s="28">
        <f>Source!S27</f>
        <v>2190.86</v>
      </c>
      <c r="M60" s="29"/>
      <c r="R60">
        <f>I60</f>
        <v>66.23</v>
      </c>
    </row>
    <row r="61" spans="1:26" ht="14.25" x14ac:dyDescent="0.2">
      <c r="A61" s="24"/>
      <c r="B61" s="24"/>
      <c r="C61" s="25"/>
      <c r="D61" s="23" t="s">
        <v>420</v>
      </c>
      <c r="E61" s="26" t="s">
        <v>421</v>
      </c>
      <c r="F61" s="10">
        <f>Source!BZ27</f>
        <v>89</v>
      </c>
      <c r="G61" s="31"/>
      <c r="H61" s="27"/>
      <c r="I61" s="28">
        <f>SUM(S58:S63)</f>
        <v>58.94</v>
      </c>
      <c r="J61" s="32"/>
      <c r="K61" s="23">
        <f>Source!AT27</f>
        <v>89</v>
      </c>
      <c r="L61" s="28">
        <f>SUM(T58:T63)</f>
        <v>1949.87</v>
      </c>
      <c r="M61" s="29"/>
    </row>
    <row r="62" spans="1:26" ht="14.25" x14ac:dyDescent="0.2">
      <c r="A62" s="24"/>
      <c r="B62" s="24"/>
      <c r="C62" s="25"/>
      <c r="D62" s="23" t="s">
        <v>422</v>
      </c>
      <c r="E62" s="26" t="s">
        <v>421</v>
      </c>
      <c r="F62" s="10">
        <f>Source!CA27</f>
        <v>40</v>
      </c>
      <c r="G62" s="31"/>
      <c r="H62" s="27"/>
      <c r="I62" s="28">
        <f>SUM(U58:U63)</f>
        <v>26.49</v>
      </c>
      <c r="J62" s="32"/>
      <c r="K62" s="23">
        <f>Source!AU27</f>
        <v>40</v>
      </c>
      <c r="L62" s="28">
        <f>SUM(V58:V63)</f>
        <v>876.34</v>
      </c>
      <c r="M62" s="29"/>
    </row>
    <row r="63" spans="1:26" ht="14.25" x14ac:dyDescent="0.2">
      <c r="A63" s="36"/>
      <c r="B63" s="36"/>
      <c r="C63" s="37"/>
      <c r="D63" s="38" t="s">
        <v>423</v>
      </c>
      <c r="E63" s="39" t="s">
        <v>424</v>
      </c>
      <c r="F63" s="40">
        <f>Source!AQ27</f>
        <v>97.2</v>
      </c>
      <c r="G63" s="41"/>
      <c r="H63" s="42" t="str">
        <f>Source!DI27</f>
        <v/>
      </c>
      <c r="I63" s="41"/>
      <c r="J63" s="42"/>
      <c r="K63" s="42"/>
      <c r="L63" s="41"/>
      <c r="M63" s="43">
        <f>Source!U27</f>
        <v>9.4478399999999993</v>
      </c>
    </row>
    <row r="64" spans="1:26" ht="15" x14ac:dyDescent="0.25">
      <c r="H64" s="87">
        <f>ROUND(Source!AC27*Source!I27, 2)+ROUND(Source!AF27*Source!I27, 2)+ROUND((((Source!ET27)-(Source!EU27))+Source!AE27)*Source!I27, 2)+SUM(I61:I62)</f>
        <v>151.66</v>
      </c>
      <c r="I64" s="87"/>
      <c r="K64" s="87">
        <f>Source!O27+SUM(L61:L62)</f>
        <v>5017.07</v>
      </c>
      <c r="L64" s="87"/>
      <c r="M64" s="35">
        <f>Source!U27</f>
        <v>9.4478399999999993</v>
      </c>
      <c r="O64" s="34">
        <f>H64</f>
        <v>151.66</v>
      </c>
      <c r="P64" s="34">
        <f>K64</f>
        <v>5017.07</v>
      </c>
      <c r="Q64" s="34">
        <f>M64</f>
        <v>9.4478399999999993</v>
      </c>
      <c r="W64">
        <f>IF(Source!BI27&lt;=1,H64, 0)</f>
        <v>151.66</v>
      </c>
      <c r="X64">
        <f>IF(Source!BI27=2,H64, 0)</f>
        <v>0</v>
      </c>
      <c r="Y64">
        <f>IF(Source!BI27=3,H64, 0)</f>
        <v>0</v>
      </c>
      <c r="Z64">
        <f>IF(Source!BI27=4,H64, 0)</f>
        <v>0</v>
      </c>
    </row>
    <row r="65" spans="1:26" ht="28.5" x14ac:dyDescent="0.2">
      <c r="A65" s="24">
        <v>5</v>
      </c>
      <c r="B65" s="24" t="str">
        <f>Source!E28</f>
        <v>5</v>
      </c>
      <c r="C65" s="25" t="str">
        <f>Source!F28</f>
        <v>м08-02-142-1</v>
      </c>
      <c r="D65" s="23" t="str">
        <f>Source!G28</f>
        <v>Устройство постели при одном кабеле в траншее</v>
      </c>
      <c r="E65" s="26" t="str">
        <f>Source!H28</f>
        <v>100 М КАБЕЛЯ</v>
      </c>
      <c r="F65" s="10">
        <f>Source!I28</f>
        <v>0.6</v>
      </c>
      <c r="G65" s="28">
        <f>IF(Source!AK28&lt;&gt; 0, Source!AK28,Source!AL28 + Source!AM28 + Source!AO28)</f>
        <v>406.46</v>
      </c>
      <c r="H65" s="27"/>
      <c r="I65" s="28"/>
      <c r="J65" s="27" t="str">
        <f>Source!BO28</f>
        <v>м08-02-142-1</v>
      </c>
      <c r="K65" s="27"/>
      <c r="L65" s="28"/>
      <c r="M65" s="29"/>
      <c r="S65">
        <f>ROUND((Source!FX28/100)*((ROUND(Source!AF28*Source!I28, 2)+ROUND(Source!AE28*Source!I28, 2))), 2)</f>
        <v>27.73</v>
      </c>
      <c r="T65">
        <f>Source!X28</f>
        <v>917.39</v>
      </c>
      <c r="U65">
        <f>ROUND((Source!FY28/100)*((ROUND(Source!AF28*Source!I28, 2)+ROUND(Source!AE28*Source!I28, 2))), 2)</f>
        <v>14.58</v>
      </c>
      <c r="V65">
        <f>Source!Y28</f>
        <v>482.34</v>
      </c>
    </row>
    <row r="66" spans="1:26" x14ac:dyDescent="0.2">
      <c r="D66" s="30" t="str">
        <f>"Объем: "&amp;Source!I28&amp;"=60/"&amp;"100"</f>
        <v>Объем: 0,6=60/100</v>
      </c>
    </row>
    <row r="67" spans="1:26" ht="14.25" x14ac:dyDescent="0.2">
      <c r="A67" s="24"/>
      <c r="B67" s="24"/>
      <c r="C67" s="25"/>
      <c r="D67" s="23" t="s">
        <v>418</v>
      </c>
      <c r="E67" s="26"/>
      <c r="F67" s="10"/>
      <c r="G67" s="28">
        <f>Source!AO28</f>
        <v>47.65</v>
      </c>
      <c r="H67" s="27" t="str">
        <f>Source!DG28</f>
        <v/>
      </c>
      <c r="I67" s="28">
        <f>ROUND(Source!AF28*Source!I28, 2)</f>
        <v>28.59</v>
      </c>
      <c r="J67" s="27"/>
      <c r="K67" s="27">
        <f>IF(Source!BA28&lt;&gt; 0, Source!BA28, 1)</f>
        <v>33.08</v>
      </c>
      <c r="L67" s="28">
        <f>Source!S28</f>
        <v>945.76</v>
      </c>
      <c r="M67" s="29"/>
      <c r="R67">
        <f>I67</f>
        <v>28.59</v>
      </c>
    </row>
    <row r="68" spans="1:26" ht="14.25" x14ac:dyDescent="0.2">
      <c r="A68" s="24"/>
      <c r="B68" s="24"/>
      <c r="C68" s="25"/>
      <c r="D68" s="23" t="s">
        <v>207</v>
      </c>
      <c r="E68" s="26"/>
      <c r="F68" s="10"/>
      <c r="G68" s="28">
        <f>Source!AM28</f>
        <v>357.86</v>
      </c>
      <c r="H68" s="27" t="str">
        <f>Source!DE28</f>
        <v/>
      </c>
      <c r="I68" s="28">
        <f>ROUND((((Source!ET28)-(Source!EU28))+Source!AE28)*Source!I28, 2)</f>
        <v>214.72</v>
      </c>
      <c r="J68" s="27"/>
      <c r="K68" s="27">
        <f>IF(Source!BB28&lt;&gt; 0, Source!BB28, 1)</f>
        <v>14.05</v>
      </c>
      <c r="L68" s="28">
        <f>Source!Q28</f>
        <v>3016.76</v>
      </c>
      <c r="M68" s="29"/>
    </row>
    <row r="69" spans="1:26" ht="14.25" x14ac:dyDescent="0.2">
      <c r="A69" s="24"/>
      <c r="B69" s="24"/>
      <c r="C69" s="25"/>
      <c r="D69" s="23" t="s">
        <v>425</v>
      </c>
      <c r="E69" s="26"/>
      <c r="F69" s="10"/>
      <c r="G69" s="28">
        <f>Source!AL28</f>
        <v>0.95</v>
      </c>
      <c r="H69" s="27" t="str">
        <f>Source!DD28</f>
        <v/>
      </c>
      <c r="I69" s="28">
        <f>ROUND(Source!AC28*Source!I28, 2)</f>
        <v>0.56999999999999995</v>
      </c>
      <c r="J69" s="27"/>
      <c r="K69" s="27">
        <f>IF(Source!BC28&lt;&gt; 0, Source!BC28, 1)</f>
        <v>33.18</v>
      </c>
      <c r="L69" s="28">
        <f>Source!P28</f>
        <v>18.91</v>
      </c>
      <c r="M69" s="29"/>
    </row>
    <row r="70" spans="1:26" ht="14.25" x14ac:dyDescent="0.2">
      <c r="A70" s="24"/>
      <c r="B70" s="24"/>
      <c r="C70" s="25"/>
      <c r="D70" s="23" t="s">
        <v>420</v>
      </c>
      <c r="E70" s="26" t="s">
        <v>421</v>
      </c>
      <c r="F70" s="10">
        <f>Source!BZ28</f>
        <v>97</v>
      </c>
      <c r="G70" s="31"/>
      <c r="H70" s="27"/>
      <c r="I70" s="28">
        <f>SUM(S65:S72)</f>
        <v>27.73</v>
      </c>
      <c r="J70" s="32"/>
      <c r="K70" s="23">
        <f>Source!AT28</f>
        <v>97</v>
      </c>
      <c r="L70" s="28">
        <f>SUM(T65:T72)</f>
        <v>917.39</v>
      </c>
      <c r="M70" s="29"/>
    </row>
    <row r="71" spans="1:26" ht="14.25" x14ac:dyDescent="0.2">
      <c r="A71" s="24"/>
      <c r="B71" s="24"/>
      <c r="C71" s="25"/>
      <c r="D71" s="23" t="s">
        <v>422</v>
      </c>
      <c r="E71" s="26" t="s">
        <v>421</v>
      </c>
      <c r="F71" s="10">
        <f>Source!CA28</f>
        <v>51</v>
      </c>
      <c r="G71" s="31"/>
      <c r="H71" s="27"/>
      <c r="I71" s="28">
        <f>SUM(U65:U72)</f>
        <v>14.58</v>
      </c>
      <c r="J71" s="32"/>
      <c r="K71" s="23">
        <f>Source!AU28</f>
        <v>51</v>
      </c>
      <c r="L71" s="28">
        <f>SUM(V65:V72)</f>
        <v>482.34</v>
      </c>
      <c r="M71" s="29"/>
    </row>
    <row r="72" spans="1:26" ht="14.25" x14ac:dyDescent="0.2">
      <c r="A72" s="36"/>
      <c r="B72" s="36"/>
      <c r="C72" s="37"/>
      <c r="D72" s="38" t="s">
        <v>423</v>
      </c>
      <c r="E72" s="39" t="s">
        <v>424</v>
      </c>
      <c r="F72" s="40">
        <f>Source!AQ28</f>
        <v>5.3</v>
      </c>
      <c r="G72" s="41"/>
      <c r="H72" s="42" t="str">
        <f>Source!DI28</f>
        <v/>
      </c>
      <c r="I72" s="41"/>
      <c r="J72" s="42"/>
      <c r="K72" s="42"/>
      <c r="L72" s="41"/>
      <c r="M72" s="43">
        <f>Source!U28</f>
        <v>3.1799999999999997</v>
      </c>
    </row>
    <row r="73" spans="1:26" ht="15" x14ac:dyDescent="0.25">
      <c r="H73" s="87">
        <f>ROUND(Source!AC28*Source!I28, 2)+ROUND(Source!AF28*Source!I28, 2)+ROUND((((Source!ET28)-(Source!EU28))+Source!AE28)*Source!I28, 2)+SUM(I70:I71)</f>
        <v>286.19</v>
      </c>
      <c r="I73" s="87"/>
      <c r="K73" s="87">
        <f>Source!O28+SUM(L70:L71)</f>
        <v>5381.16</v>
      </c>
      <c r="L73" s="87"/>
      <c r="M73" s="35">
        <f>Source!U28</f>
        <v>3.1799999999999997</v>
      </c>
      <c r="O73" s="34">
        <f>H73</f>
        <v>286.19</v>
      </c>
      <c r="P73" s="34">
        <f>K73</f>
        <v>5381.16</v>
      </c>
      <c r="Q73" s="34">
        <f>M73</f>
        <v>3.1799999999999997</v>
      </c>
      <c r="W73">
        <f>IF(Source!BI28&lt;=1,H73, 0)</f>
        <v>0</v>
      </c>
      <c r="X73">
        <f>IF(Source!BI28=2,H73, 0)</f>
        <v>286.19</v>
      </c>
      <c r="Y73">
        <f>IF(Source!BI28=3,H73, 0)</f>
        <v>0</v>
      </c>
      <c r="Z73">
        <f>IF(Source!BI28=4,H73, 0)</f>
        <v>0</v>
      </c>
    </row>
    <row r="74" spans="1:26" ht="28.5" x14ac:dyDescent="0.2">
      <c r="A74" s="24">
        <v>6</v>
      </c>
      <c r="B74" s="24" t="str">
        <f>Source!E29</f>
        <v>6</v>
      </c>
      <c r="C74" s="25" t="str">
        <f>Source!F29</f>
        <v>м08-02-142-2</v>
      </c>
      <c r="D74" s="23" t="str">
        <f>Source!G29</f>
        <v>На каждый последующий кабель добавлять к расценке 08-02-142-01</v>
      </c>
      <c r="E74" s="26" t="str">
        <f>Source!H29</f>
        <v>100 М КАБЕЛЯ</v>
      </c>
      <c r="F74" s="10">
        <f>Source!I29</f>
        <v>1.8</v>
      </c>
      <c r="G74" s="28">
        <f>IF(Source!AK29&lt;&gt; 0, Source!AK29,Source!AL29 + Source!AM29 + Source!AO29)</f>
        <v>25.59</v>
      </c>
      <c r="H74" s="27"/>
      <c r="I74" s="28"/>
      <c r="J74" s="27" t="str">
        <f>Source!BO29</f>
        <v>м08-02-142-2</v>
      </c>
      <c r="K74" s="27"/>
      <c r="L74" s="28"/>
      <c r="M74" s="29"/>
      <c r="S74">
        <f>ROUND((Source!FX29/100)*((ROUND(Source!AF29*Source!I29, 2)+ROUND(Source!AE29*Source!I29, 2))), 2)</f>
        <v>31.23</v>
      </c>
      <c r="T74">
        <f>Source!X29</f>
        <v>1033.28</v>
      </c>
      <c r="U74">
        <f>ROUND((Source!FY29/100)*((ROUND(Source!AF29*Source!I29, 2)+ROUND(Source!AE29*Source!I29, 2))), 2)</f>
        <v>16.420000000000002</v>
      </c>
      <c r="V74">
        <f>Source!Y29</f>
        <v>543.27</v>
      </c>
    </row>
    <row r="75" spans="1:26" x14ac:dyDescent="0.2">
      <c r="D75" s="30" t="str">
        <f>"Объем: "&amp;Source!I29&amp;"=180/"&amp;"100"</f>
        <v>Объем: 1,8=180/100</v>
      </c>
    </row>
    <row r="76" spans="1:26" ht="14.25" x14ac:dyDescent="0.2">
      <c r="A76" s="24"/>
      <c r="B76" s="24"/>
      <c r="C76" s="25"/>
      <c r="D76" s="23" t="s">
        <v>418</v>
      </c>
      <c r="E76" s="26"/>
      <c r="F76" s="10"/>
      <c r="G76" s="28">
        <f>Source!AO29</f>
        <v>17.89</v>
      </c>
      <c r="H76" s="27" t="str">
        <f>Source!DG29</f>
        <v/>
      </c>
      <c r="I76" s="28">
        <f>ROUND(Source!AF29*Source!I29, 2)</f>
        <v>32.200000000000003</v>
      </c>
      <c r="J76" s="27"/>
      <c r="K76" s="27">
        <f>IF(Source!BA29&lt;&gt; 0, Source!BA29, 1)</f>
        <v>33.08</v>
      </c>
      <c r="L76" s="28">
        <f>Source!S29</f>
        <v>1065.24</v>
      </c>
      <c r="M76" s="29"/>
      <c r="R76">
        <f>I76</f>
        <v>32.200000000000003</v>
      </c>
    </row>
    <row r="77" spans="1:26" ht="14.25" x14ac:dyDescent="0.2">
      <c r="A77" s="24"/>
      <c r="B77" s="24"/>
      <c r="C77" s="25"/>
      <c r="D77" s="23" t="s">
        <v>207</v>
      </c>
      <c r="E77" s="26"/>
      <c r="F77" s="10"/>
      <c r="G77" s="28">
        <f>Source!AM29</f>
        <v>7.34</v>
      </c>
      <c r="H77" s="27" t="str">
        <f>Source!DE29</f>
        <v/>
      </c>
      <c r="I77" s="28">
        <f>ROUND((((Source!ET29)-(Source!EU29))+Source!AE29)*Source!I29, 2)</f>
        <v>13.21</v>
      </c>
      <c r="J77" s="27"/>
      <c r="K77" s="27">
        <f>IF(Source!BB29&lt;&gt; 0, Source!BB29, 1)</f>
        <v>14.05</v>
      </c>
      <c r="L77" s="28">
        <f>Source!Q29</f>
        <v>185.63</v>
      </c>
      <c r="M77" s="29"/>
    </row>
    <row r="78" spans="1:26" ht="14.25" x14ac:dyDescent="0.2">
      <c r="A78" s="24"/>
      <c r="B78" s="24"/>
      <c r="C78" s="25"/>
      <c r="D78" s="23" t="s">
        <v>425</v>
      </c>
      <c r="E78" s="26"/>
      <c r="F78" s="10"/>
      <c r="G78" s="28">
        <f>Source!AL29</f>
        <v>0.36</v>
      </c>
      <c r="H78" s="27" t="str">
        <f>Source!DD29</f>
        <v/>
      </c>
      <c r="I78" s="28">
        <f>ROUND(Source!AC29*Source!I29, 2)</f>
        <v>0.65</v>
      </c>
      <c r="J78" s="27"/>
      <c r="K78" s="27">
        <f>IF(Source!BC29&lt;&gt; 0, Source!BC29, 1)</f>
        <v>32.89</v>
      </c>
      <c r="L78" s="28">
        <f>Source!P29</f>
        <v>21.31</v>
      </c>
      <c r="M78" s="29"/>
    </row>
    <row r="79" spans="1:26" ht="14.25" x14ac:dyDescent="0.2">
      <c r="A79" s="24"/>
      <c r="B79" s="24"/>
      <c r="C79" s="25"/>
      <c r="D79" s="23" t="s">
        <v>420</v>
      </c>
      <c r="E79" s="26" t="s">
        <v>421</v>
      </c>
      <c r="F79" s="10">
        <f>Source!BZ29</f>
        <v>97</v>
      </c>
      <c r="G79" s="31"/>
      <c r="H79" s="27"/>
      <c r="I79" s="28">
        <f>SUM(S74:S81)</f>
        <v>31.23</v>
      </c>
      <c r="J79" s="32"/>
      <c r="K79" s="23">
        <f>Source!AT29</f>
        <v>97</v>
      </c>
      <c r="L79" s="28">
        <f>SUM(T74:T81)</f>
        <v>1033.28</v>
      </c>
      <c r="M79" s="29"/>
    </row>
    <row r="80" spans="1:26" ht="14.25" x14ac:dyDescent="0.2">
      <c r="A80" s="24"/>
      <c r="B80" s="24"/>
      <c r="C80" s="25"/>
      <c r="D80" s="23" t="s">
        <v>422</v>
      </c>
      <c r="E80" s="26" t="s">
        <v>421</v>
      </c>
      <c r="F80" s="10">
        <f>Source!CA29</f>
        <v>51</v>
      </c>
      <c r="G80" s="31"/>
      <c r="H80" s="27"/>
      <c r="I80" s="28">
        <f>SUM(U74:U81)</f>
        <v>16.420000000000002</v>
      </c>
      <c r="J80" s="32"/>
      <c r="K80" s="23">
        <f>Source!AU29</f>
        <v>51</v>
      </c>
      <c r="L80" s="28">
        <f>SUM(V74:V81)</f>
        <v>543.27</v>
      </c>
      <c r="M80" s="29"/>
    </row>
    <row r="81" spans="1:28" ht="14.25" x14ac:dyDescent="0.2">
      <c r="A81" s="36"/>
      <c r="B81" s="36"/>
      <c r="C81" s="37"/>
      <c r="D81" s="38" t="s">
        <v>423</v>
      </c>
      <c r="E81" s="39" t="s">
        <v>424</v>
      </c>
      <c r="F81" s="40">
        <f>Source!AQ29</f>
        <v>1.99</v>
      </c>
      <c r="G81" s="41"/>
      <c r="H81" s="42" t="str">
        <f>Source!DI29</f>
        <v/>
      </c>
      <c r="I81" s="41"/>
      <c r="J81" s="42"/>
      <c r="K81" s="42"/>
      <c r="L81" s="41"/>
      <c r="M81" s="43">
        <f>Source!U29</f>
        <v>3.5819999999999999</v>
      </c>
    </row>
    <row r="82" spans="1:28" ht="15" x14ac:dyDescent="0.25">
      <c r="H82" s="87">
        <f>ROUND(Source!AC29*Source!I29, 2)+ROUND(Source!AF29*Source!I29, 2)+ROUND((((Source!ET29)-(Source!EU29))+Source!AE29)*Source!I29, 2)+SUM(I79:I80)</f>
        <v>93.710000000000008</v>
      </c>
      <c r="I82" s="87"/>
      <c r="K82" s="87">
        <f>Source!O29+SUM(L79:L80)</f>
        <v>2848.73</v>
      </c>
      <c r="L82" s="87"/>
      <c r="M82" s="35">
        <f>Source!U29</f>
        <v>3.5819999999999999</v>
      </c>
      <c r="O82" s="34">
        <f>H82</f>
        <v>93.710000000000008</v>
      </c>
      <c r="P82" s="34">
        <f>K82</f>
        <v>2848.73</v>
      </c>
      <c r="Q82" s="34">
        <f>M82</f>
        <v>3.5819999999999999</v>
      </c>
      <c r="W82">
        <f>IF(Source!BI29&lt;=1,H82, 0)</f>
        <v>0</v>
      </c>
      <c r="X82">
        <f>IF(Source!BI29=2,H82, 0)</f>
        <v>93.710000000000008</v>
      </c>
      <c r="Y82">
        <f>IF(Source!BI29=3,H82, 0)</f>
        <v>0</v>
      </c>
      <c r="Z82">
        <f>IF(Source!BI29=4,H82, 0)</f>
        <v>0</v>
      </c>
    </row>
    <row r="83" spans="1:28" ht="42.75" x14ac:dyDescent="0.2">
      <c r="A83" s="24">
        <v>7</v>
      </c>
      <c r="B83" s="24" t="str">
        <f>Source!E30</f>
        <v>7</v>
      </c>
      <c r="C83" s="25" t="str">
        <f>Source!F30</f>
        <v>м08-02-148-4</v>
      </c>
      <c r="D83" s="23" t="str">
        <f>Source!G30</f>
        <v>Кабель до 35 кВ в проложенных трубах, блоках и коробах, масса 1 м кабеля до 6 кг</v>
      </c>
      <c r="E83" s="26" t="str">
        <f>Source!H30</f>
        <v>100 М КАБЕЛЯ</v>
      </c>
      <c r="F83" s="10">
        <f>Source!I30</f>
        <v>2.4</v>
      </c>
      <c r="G83" s="28">
        <f>IF(Source!AK30&lt;&gt; 0, Source!AK30,Source!AL30 + Source!AM30 + Source!AO30)</f>
        <v>339.16</v>
      </c>
      <c r="H83" s="27"/>
      <c r="I83" s="28"/>
      <c r="J83" s="27" t="str">
        <f>Source!BO30</f>
        <v>м08-02-148-4</v>
      </c>
      <c r="K83" s="27"/>
      <c r="L83" s="28"/>
      <c r="M83" s="29"/>
      <c r="S83">
        <f>ROUND((Source!FX30/100)*((ROUND(Source!AF30*Source!I30, 2)+ROUND(Source!AE30*Source!I30, 2))), 2)</f>
        <v>487.83</v>
      </c>
      <c r="T83">
        <f>Source!X30</f>
        <v>16137.49</v>
      </c>
      <c r="U83">
        <f>ROUND((Source!FY30/100)*((ROUND(Source!AF30*Source!I30, 2)+ROUND(Source!AE30*Source!I30, 2))), 2)</f>
        <v>256.49</v>
      </c>
      <c r="V83">
        <f>Source!Y30</f>
        <v>8484.66</v>
      </c>
    </row>
    <row r="84" spans="1:28" x14ac:dyDescent="0.2">
      <c r="D84" s="30" t="str">
        <f>"Объем: "&amp;Source!I30&amp;"=240/"&amp;"100"</f>
        <v>Объем: 2,4=240/100</v>
      </c>
    </row>
    <row r="85" spans="1:28" ht="14.25" x14ac:dyDescent="0.2">
      <c r="A85" s="24"/>
      <c r="B85" s="24"/>
      <c r="C85" s="25"/>
      <c r="D85" s="23" t="s">
        <v>418</v>
      </c>
      <c r="E85" s="26"/>
      <c r="F85" s="10"/>
      <c r="G85" s="28">
        <f>Source!AO30</f>
        <v>207.13</v>
      </c>
      <c r="H85" s="27" t="str">
        <f>Source!DG30</f>
        <v/>
      </c>
      <c r="I85" s="28">
        <f>ROUND(Source!AF30*Source!I30, 2)</f>
        <v>497.11</v>
      </c>
      <c r="J85" s="27"/>
      <c r="K85" s="27">
        <f>IF(Source!BA30&lt;&gt; 0, Source!BA30, 1)</f>
        <v>33.08</v>
      </c>
      <c r="L85" s="28">
        <f>Source!S30</f>
        <v>16444.46</v>
      </c>
      <c r="M85" s="29"/>
      <c r="R85">
        <f>I85</f>
        <v>497.11</v>
      </c>
    </row>
    <row r="86" spans="1:28" ht="14.25" x14ac:dyDescent="0.2">
      <c r="A86" s="24"/>
      <c r="B86" s="24"/>
      <c r="C86" s="25"/>
      <c r="D86" s="23" t="s">
        <v>207</v>
      </c>
      <c r="E86" s="26"/>
      <c r="F86" s="10"/>
      <c r="G86" s="28">
        <f>Source!AM30</f>
        <v>90.42</v>
      </c>
      <c r="H86" s="27" t="str">
        <f>Source!DE30</f>
        <v/>
      </c>
      <c r="I86" s="28">
        <f>ROUND((((Source!ET30)-(Source!EU30))+Source!AE30)*Source!I30, 2)</f>
        <v>217.01</v>
      </c>
      <c r="J86" s="27"/>
      <c r="K86" s="27">
        <f>IF(Source!BB30&lt;&gt; 0, Source!BB30, 1)</f>
        <v>8.6300000000000008</v>
      </c>
      <c r="L86" s="28">
        <f>Source!Q30</f>
        <v>1872.78</v>
      </c>
      <c r="M86" s="29"/>
    </row>
    <row r="87" spans="1:28" ht="14.25" x14ac:dyDescent="0.2">
      <c r="A87" s="24"/>
      <c r="B87" s="24"/>
      <c r="C87" s="25"/>
      <c r="D87" s="23" t="s">
        <v>419</v>
      </c>
      <c r="E87" s="26"/>
      <c r="F87" s="10"/>
      <c r="G87" s="28">
        <f>Source!AN30</f>
        <v>2.42</v>
      </c>
      <c r="H87" s="27" t="str">
        <f>Source!DF30</f>
        <v/>
      </c>
      <c r="I87" s="28">
        <f>ROUND(Source!AE30*Source!I30, 2)</f>
        <v>5.81</v>
      </c>
      <c r="J87" s="27"/>
      <c r="K87" s="27">
        <f>IF(Source!BS30&lt;&gt; 0, Source!BS30, 1)</f>
        <v>33.08</v>
      </c>
      <c r="L87" s="28">
        <f>Source!R30</f>
        <v>192.13</v>
      </c>
      <c r="M87" s="29"/>
      <c r="R87">
        <f>I87</f>
        <v>5.81</v>
      </c>
    </row>
    <row r="88" spans="1:28" ht="14.25" x14ac:dyDescent="0.2">
      <c r="A88" s="24"/>
      <c r="B88" s="24"/>
      <c r="C88" s="25"/>
      <c r="D88" s="23" t="s">
        <v>425</v>
      </c>
      <c r="E88" s="26"/>
      <c r="F88" s="10"/>
      <c r="G88" s="28">
        <f>Source!AL30</f>
        <v>41.61</v>
      </c>
      <c r="H88" s="27" t="str">
        <f>Source!DD30</f>
        <v/>
      </c>
      <c r="I88" s="28">
        <f>ROUND(Source!AC30*Source!I30, 2)</f>
        <v>99.86</v>
      </c>
      <c r="J88" s="27"/>
      <c r="K88" s="27">
        <f>IF(Source!BC30&lt;&gt; 0, Source!BC30, 1)</f>
        <v>13.19</v>
      </c>
      <c r="L88" s="28">
        <f>Source!P30</f>
        <v>1317.21</v>
      </c>
      <c r="M88" s="29"/>
    </row>
    <row r="89" spans="1:28" ht="14.25" x14ac:dyDescent="0.2">
      <c r="A89" s="24"/>
      <c r="B89" s="24"/>
      <c r="C89" s="25"/>
      <c r="D89" s="23" t="s">
        <v>420</v>
      </c>
      <c r="E89" s="26" t="s">
        <v>421</v>
      </c>
      <c r="F89" s="10">
        <f>Source!BZ30</f>
        <v>97</v>
      </c>
      <c r="G89" s="31"/>
      <c r="H89" s="27"/>
      <c r="I89" s="28">
        <f>SUM(S83:S92)</f>
        <v>487.83</v>
      </c>
      <c r="J89" s="32"/>
      <c r="K89" s="23">
        <f>Source!AT30</f>
        <v>97</v>
      </c>
      <c r="L89" s="28">
        <f>SUM(T83:T92)</f>
        <v>16137.49</v>
      </c>
      <c r="M89" s="29"/>
    </row>
    <row r="90" spans="1:28" ht="14.25" x14ac:dyDescent="0.2">
      <c r="A90" s="24"/>
      <c r="B90" s="24"/>
      <c r="C90" s="25"/>
      <c r="D90" s="23" t="s">
        <v>422</v>
      </c>
      <c r="E90" s="26" t="s">
        <v>421</v>
      </c>
      <c r="F90" s="10">
        <f>Source!CA30</f>
        <v>51</v>
      </c>
      <c r="G90" s="31"/>
      <c r="H90" s="27"/>
      <c r="I90" s="28">
        <f>SUM(U83:U92)</f>
        <v>256.49</v>
      </c>
      <c r="J90" s="32"/>
      <c r="K90" s="23">
        <f>Source!AU30</f>
        <v>51</v>
      </c>
      <c r="L90" s="28">
        <f>SUM(V83:V92)</f>
        <v>8484.66</v>
      </c>
      <c r="M90" s="29"/>
    </row>
    <row r="91" spans="1:28" ht="14.25" x14ac:dyDescent="0.2">
      <c r="A91" s="24"/>
      <c r="B91" s="24"/>
      <c r="C91" s="25"/>
      <c r="D91" s="23" t="s">
        <v>423</v>
      </c>
      <c r="E91" s="26" t="s">
        <v>424</v>
      </c>
      <c r="F91" s="10">
        <f>Source!AQ30</f>
        <v>23.04</v>
      </c>
      <c r="G91" s="28"/>
      <c r="H91" s="27" t="str">
        <f>Source!DI30</f>
        <v/>
      </c>
      <c r="I91" s="28"/>
      <c r="J91" s="27"/>
      <c r="K91" s="27"/>
      <c r="L91" s="28"/>
      <c r="M91" s="33">
        <f>Source!U30</f>
        <v>55.295999999999999</v>
      </c>
    </row>
    <row r="92" spans="1:28" ht="28.5" x14ac:dyDescent="0.2">
      <c r="A92" s="52">
        <v>8</v>
      </c>
      <c r="B92" s="52" t="str">
        <f>Source!E31</f>
        <v>7,1</v>
      </c>
      <c r="C92" s="52" t="str">
        <f>Source!F31</f>
        <v>506-1362</v>
      </c>
      <c r="D92" s="52" t="str">
        <f>Source!G31</f>
        <v>Припои оловянно-свинцовые бессурьмянистые марки ПОС30</v>
      </c>
      <c r="E92" s="53" t="str">
        <f>Source!H31</f>
        <v>кг</v>
      </c>
      <c r="F92" s="54">
        <f>Source!I31</f>
        <v>-1.2</v>
      </c>
      <c r="G92" s="55">
        <f>Source!AK31</f>
        <v>71.45</v>
      </c>
      <c r="H92" s="56" t="s">
        <v>3</v>
      </c>
      <c r="I92" s="55">
        <f>ROUND(Source!AC31*Source!I31, 2)+ROUND((((Source!ET31)-(Source!EU31))+Source!AE31)*Source!I31, 2)+ROUND(Source!AF31*Source!I31, 2)</f>
        <v>-85.74</v>
      </c>
      <c r="J92" s="53"/>
      <c r="K92" s="53">
        <f>IF(Source!BC31&lt;&gt; 0, Source!BC31, 1)</f>
        <v>11.19</v>
      </c>
      <c r="L92" s="55">
        <f>Source!O31</f>
        <v>-959.43</v>
      </c>
      <c r="M92" s="55"/>
      <c r="S92">
        <f>ROUND((Source!FX31/100)*((ROUND(Source!AF31*Source!I31, 2)+ROUND(Source!AE31*Source!I31, 2))), 2)</f>
        <v>0</v>
      </c>
      <c r="T92">
        <f>Source!X31</f>
        <v>0</v>
      </c>
      <c r="U92">
        <f>ROUND((Source!FY31/100)*((ROUND(Source!AF31*Source!I31, 2)+ROUND(Source!AE31*Source!I31, 2))), 2)</f>
        <v>0</v>
      </c>
      <c r="V92">
        <f>Source!Y31</f>
        <v>0</v>
      </c>
      <c r="Y92">
        <f>IF(Source!BI31=3,I92, 0)</f>
        <v>0</v>
      </c>
      <c r="AA92">
        <f>ROUND(Source!AC31*Source!I31, 2)+ROUND((((Source!ET31)-(Source!EU31))+Source!AE31)*Source!I31, 2)+ROUND(Source!AF31*Source!I31, 2)</f>
        <v>-85.74</v>
      </c>
      <c r="AB92">
        <f>Source!O31</f>
        <v>-959.43</v>
      </c>
    </row>
    <row r="93" spans="1:28" ht="15" x14ac:dyDescent="0.25">
      <c r="H93" s="87">
        <f>ROUND(Source!AC30*Source!I30, 2)+ROUND(Source!AF30*Source!I30, 2)+ROUND((((Source!ET30)-(Source!EU30))+Source!AE30)*Source!I30, 2)+SUM(I89:I90)+SUM(AA92:AA92)</f>
        <v>1472.56</v>
      </c>
      <c r="I93" s="87"/>
      <c r="K93" s="87">
        <f>Source!O30+SUM(L89:L90)+SUM(AB92:AB92)</f>
        <v>43297.170000000006</v>
      </c>
      <c r="L93" s="87"/>
      <c r="M93" s="35">
        <f>Source!U30</f>
        <v>55.295999999999999</v>
      </c>
      <c r="O93" s="34">
        <f>H93</f>
        <v>1472.56</v>
      </c>
      <c r="P93" s="34">
        <f>K93</f>
        <v>43297.170000000006</v>
      </c>
      <c r="Q93" s="34">
        <f>M93</f>
        <v>55.295999999999999</v>
      </c>
      <c r="W93">
        <f>IF(Source!BI30&lt;=1,H93, 0)</f>
        <v>0</v>
      </c>
      <c r="X93">
        <f>IF(Source!BI30=2,H93, 0)</f>
        <v>1472.56</v>
      </c>
      <c r="Y93">
        <f>IF(Source!BI30=3,H93, 0)</f>
        <v>0</v>
      </c>
      <c r="Z93">
        <f>IF(Source!BI30=4,H93, 0)</f>
        <v>0</v>
      </c>
    </row>
    <row r="94" spans="1:28" ht="28.5" x14ac:dyDescent="0.2">
      <c r="A94" s="24">
        <v>9</v>
      </c>
      <c r="B94" s="24" t="str">
        <f>Source!E32</f>
        <v>8</v>
      </c>
      <c r="C94" s="25" t="str">
        <f>Source!F32</f>
        <v>м08-02-396-6</v>
      </c>
      <c r="D94" s="23" t="str">
        <f>Source!G32</f>
        <v>Короб металлический по стенам и потолкам, длина 3 м</v>
      </c>
      <c r="E94" s="26" t="str">
        <f>Source!H32</f>
        <v>100 м</v>
      </c>
      <c r="F94" s="10">
        <f>Source!I32</f>
        <v>0.22</v>
      </c>
      <c r="G94" s="28">
        <f>IF(Source!AK32&lt;&gt; 0, Source!AK32,Source!AL32 + Source!AM32 + Source!AO32)</f>
        <v>371.2</v>
      </c>
      <c r="H94" s="27"/>
      <c r="I94" s="28"/>
      <c r="J94" s="27" t="str">
        <f>Source!BO32</f>
        <v>м08-02-396-6</v>
      </c>
      <c r="K94" s="27"/>
      <c r="L94" s="28"/>
      <c r="M94" s="29"/>
      <c r="S94">
        <f>ROUND((Source!FX32/100)*((ROUND(Source!AF32*Source!I32, 2)+ROUND(Source!AE32*Source!I32, 2))), 2)</f>
        <v>44.38</v>
      </c>
      <c r="T94">
        <f>Source!X32</f>
        <v>1467.98</v>
      </c>
      <c r="U94">
        <f>ROUND((Source!FY32/100)*((ROUND(Source!AF32*Source!I32, 2)+ROUND(Source!AE32*Source!I32, 2))), 2)</f>
        <v>23.33</v>
      </c>
      <c r="V94">
        <f>Source!Y32</f>
        <v>771.82</v>
      </c>
    </row>
    <row r="95" spans="1:28" x14ac:dyDescent="0.2">
      <c r="D95" s="30" t="str">
        <f>"Объем: "&amp;Source!I32&amp;"=22/"&amp;"100"</f>
        <v>Объем: 0,22=22/100</v>
      </c>
    </row>
    <row r="96" spans="1:28" ht="14.25" x14ac:dyDescent="0.2">
      <c r="A96" s="24"/>
      <c r="B96" s="24"/>
      <c r="C96" s="25"/>
      <c r="D96" s="23" t="s">
        <v>418</v>
      </c>
      <c r="E96" s="26"/>
      <c r="F96" s="10"/>
      <c r="G96" s="28">
        <f>Source!AO32</f>
        <v>206.74</v>
      </c>
      <c r="H96" s="27" t="str">
        <f>Source!DG32</f>
        <v/>
      </c>
      <c r="I96" s="28">
        <f>ROUND(Source!AF32*Source!I32, 2)</f>
        <v>45.48</v>
      </c>
      <c r="J96" s="27"/>
      <c r="K96" s="27">
        <f>IF(Source!BA32&lt;&gt; 0, Source!BA32, 1)</f>
        <v>33.08</v>
      </c>
      <c r="L96" s="28">
        <f>Source!S32</f>
        <v>1504.57</v>
      </c>
      <c r="M96" s="29"/>
      <c r="R96">
        <f>I96</f>
        <v>45.48</v>
      </c>
    </row>
    <row r="97" spans="1:28" ht="14.25" x14ac:dyDescent="0.2">
      <c r="A97" s="24"/>
      <c r="B97" s="24"/>
      <c r="C97" s="25"/>
      <c r="D97" s="23" t="s">
        <v>207</v>
      </c>
      <c r="E97" s="26"/>
      <c r="F97" s="10"/>
      <c r="G97" s="28">
        <f>Source!AM32</f>
        <v>36.090000000000003</v>
      </c>
      <c r="H97" s="27" t="str">
        <f>Source!DE32</f>
        <v/>
      </c>
      <c r="I97" s="28">
        <f>ROUND((((Source!ET32)-(Source!EU32))+Source!AE32)*Source!I32, 2)</f>
        <v>7.94</v>
      </c>
      <c r="J97" s="27"/>
      <c r="K97" s="27">
        <f>IF(Source!BB32&lt;&gt; 0, Source!BB32, 1)</f>
        <v>10.06</v>
      </c>
      <c r="L97" s="28">
        <f>Source!Q32</f>
        <v>79.87</v>
      </c>
      <c r="M97" s="29"/>
    </row>
    <row r="98" spans="1:28" ht="14.25" x14ac:dyDescent="0.2">
      <c r="A98" s="24"/>
      <c r="B98" s="24"/>
      <c r="C98" s="25"/>
      <c r="D98" s="23" t="s">
        <v>419</v>
      </c>
      <c r="E98" s="26"/>
      <c r="F98" s="10"/>
      <c r="G98" s="28">
        <f>Source!AN32</f>
        <v>1.21</v>
      </c>
      <c r="H98" s="27" t="str">
        <f>Source!DF32</f>
        <v/>
      </c>
      <c r="I98" s="28">
        <f>ROUND(Source!AE32*Source!I32, 2)</f>
        <v>0.27</v>
      </c>
      <c r="J98" s="27"/>
      <c r="K98" s="27">
        <f>IF(Source!BS32&lt;&gt; 0, Source!BS32, 1)</f>
        <v>33.08</v>
      </c>
      <c r="L98" s="28">
        <f>Source!R32</f>
        <v>8.81</v>
      </c>
      <c r="M98" s="29"/>
      <c r="R98">
        <f>I98</f>
        <v>0.27</v>
      </c>
    </row>
    <row r="99" spans="1:28" ht="14.25" x14ac:dyDescent="0.2">
      <c r="A99" s="24"/>
      <c r="B99" s="24"/>
      <c r="C99" s="25"/>
      <c r="D99" s="23" t="s">
        <v>425</v>
      </c>
      <c r="E99" s="26"/>
      <c r="F99" s="10"/>
      <c r="G99" s="28">
        <f>Source!AL32</f>
        <v>128.37</v>
      </c>
      <c r="H99" s="27" t="str">
        <f>Source!DD32</f>
        <v/>
      </c>
      <c r="I99" s="28">
        <f>ROUND(Source!AC32*Source!I32, 2)</f>
        <v>28.24</v>
      </c>
      <c r="J99" s="27"/>
      <c r="K99" s="27">
        <f>IF(Source!BC32&lt;&gt; 0, Source!BC32, 1)</f>
        <v>8.7899999999999991</v>
      </c>
      <c r="L99" s="28">
        <f>Source!P32</f>
        <v>248.24</v>
      </c>
      <c r="M99" s="29"/>
    </row>
    <row r="100" spans="1:28" ht="14.25" x14ac:dyDescent="0.2">
      <c r="A100" s="24"/>
      <c r="B100" s="24"/>
      <c r="C100" s="25"/>
      <c r="D100" s="23" t="s">
        <v>420</v>
      </c>
      <c r="E100" s="26" t="s">
        <v>421</v>
      </c>
      <c r="F100" s="10">
        <f>Source!BZ32</f>
        <v>97</v>
      </c>
      <c r="G100" s="31"/>
      <c r="H100" s="27"/>
      <c r="I100" s="28">
        <f>SUM(S94:S103)</f>
        <v>44.38</v>
      </c>
      <c r="J100" s="32"/>
      <c r="K100" s="23">
        <f>Source!AT32</f>
        <v>97</v>
      </c>
      <c r="L100" s="28">
        <f>SUM(T94:T103)</f>
        <v>1467.98</v>
      </c>
      <c r="M100" s="29"/>
    </row>
    <row r="101" spans="1:28" ht="14.25" x14ac:dyDescent="0.2">
      <c r="A101" s="24"/>
      <c r="B101" s="24"/>
      <c r="C101" s="25"/>
      <c r="D101" s="23" t="s">
        <v>422</v>
      </c>
      <c r="E101" s="26" t="s">
        <v>421</v>
      </c>
      <c r="F101" s="10">
        <f>Source!CA32</f>
        <v>51</v>
      </c>
      <c r="G101" s="31"/>
      <c r="H101" s="27"/>
      <c r="I101" s="28">
        <f>SUM(U94:U103)</f>
        <v>23.33</v>
      </c>
      <c r="J101" s="32"/>
      <c r="K101" s="23">
        <f>Source!AU32</f>
        <v>51</v>
      </c>
      <c r="L101" s="28">
        <f>SUM(V94:V103)</f>
        <v>771.82</v>
      </c>
      <c r="M101" s="29"/>
    </row>
    <row r="102" spans="1:28" ht="14.25" x14ac:dyDescent="0.2">
      <c r="A102" s="24"/>
      <c r="B102" s="24"/>
      <c r="C102" s="25"/>
      <c r="D102" s="23" t="s">
        <v>423</v>
      </c>
      <c r="E102" s="26" t="s">
        <v>424</v>
      </c>
      <c r="F102" s="10">
        <f>Source!AQ32</f>
        <v>23.52</v>
      </c>
      <c r="G102" s="28"/>
      <c r="H102" s="27" t="str">
        <f>Source!DI32</f>
        <v/>
      </c>
      <c r="I102" s="28"/>
      <c r="J102" s="27"/>
      <c r="K102" s="27"/>
      <c r="L102" s="28"/>
      <c r="M102" s="33">
        <f>Source!U32</f>
        <v>5.1744000000000003</v>
      </c>
    </row>
    <row r="103" spans="1:28" ht="14.25" x14ac:dyDescent="0.2">
      <c r="A103" s="52">
        <v>10</v>
      </c>
      <c r="B103" s="52" t="str">
        <f>Source!E33</f>
        <v>8,1</v>
      </c>
      <c r="C103" s="52" t="str">
        <f>Source!F33</f>
        <v>101-1924</v>
      </c>
      <c r="D103" s="52" t="str">
        <f>Source!G33</f>
        <v>Электроды диаметром 4 мм Э42А</v>
      </c>
      <c r="E103" s="53" t="str">
        <f>Source!H33</f>
        <v>кг</v>
      </c>
      <c r="F103" s="54">
        <f>Source!I33</f>
        <v>-1.5047999999999999</v>
      </c>
      <c r="G103" s="55">
        <f>Source!AK33</f>
        <v>12.65</v>
      </c>
      <c r="H103" s="56" t="s">
        <v>3</v>
      </c>
      <c r="I103" s="55">
        <f>ROUND(Source!AC33*Source!I33, 2)+ROUND((((Source!ET33)-(Source!EU33))+Source!AE33)*Source!I33, 2)+ROUND(Source!AF33*Source!I33, 2)</f>
        <v>-19.04</v>
      </c>
      <c r="J103" s="53"/>
      <c r="K103" s="53">
        <f>IF(Source!BC33&lt;&gt; 0, Source!BC33, 1)</f>
        <v>9.6300000000000008</v>
      </c>
      <c r="L103" s="55">
        <f>Source!O33</f>
        <v>-183.31</v>
      </c>
      <c r="M103" s="55"/>
      <c r="S103">
        <f>ROUND((Source!FX33/100)*((ROUND(Source!AF33*Source!I33, 2)+ROUND(Source!AE33*Source!I33, 2))), 2)</f>
        <v>0</v>
      </c>
      <c r="T103">
        <f>Source!X33</f>
        <v>0</v>
      </c>
      <c r="U103">
        <f>ROUND((Source!FY33/100)*((ROUND(Source!AF33*Source!I33, 2)+ROUND(Source!AE33*Source!I33, 2))), 2)</f>
        <v>0</v>
      </c>
      <c r="V103">
        <f>Source!Y33</f>
        <v>0</v>
      </c>
      <c r="Y103">
        <f>IF(Source!BI33=3,I103, 0)</f>
        <v>0</v>
      </c>
      <c r="AA103">
        <f>ROUND(Source!AC33*Source!I33, 2)+ROUND((((Source!ET33)-(Source!EU33))+Source!AE33)*Source!I33, 2)+ROUND(Source!AF33*Source!I33, 2)</f>
        <v>-19.04</v>
      </c>
      <c r="AB103">
        <f>Source!O33</f>
        <v>-183.31</v>
      </c>
    </row>
    <row r="104" spans="1:28" ht="15" x14ac:dyDescent="0.25">
      <c r="H104" s="87">
        <f>ROUND(Source!AC32*Source!I32, 2)+ROUND(Source!AF32*Source!I32, 2)+ROUND((((Source!ET32)-(Source!EU32))+Source!AE32)*Source!I32, 2)+SUM(I100:I101)+SUM(AA103:AA103)</f>
        <v>130.33000000000001</v>
      </c>
      <c r="I104" s="87"/>
      <c r="K104" s="87">
        <f>Source!O32+SUM(L100:L101)+SUM(AB103:AB103)</f>
        <v>3889.1700000000005</v>
      </c>
      <c r="L104" s="87"/>
      <c r="M104" s="35">
        <f>Source!U32</f>
        <v>5.1744000000000003</v>
      </c>
      <c r="O104" s="34">
        <f>H104</f>
        <v>130.33000000000001</v>
      </c>
      <c r="P104" s="34">
        <f>K104</f>
        <v>3889.1700000000005</v>
      </c>
      <c r="Q104" s="34">
        <f>M104</f>
        <v>5.1744000000000003</v>
      </c>
      <c r="W104">
        <f>IF(Source!BI32&lt;=1,H104, 0)</f>
        <v>0</v>
      </c>
      <c r="X104">
        <f>IF(Source!BI32=2,H104, 0)</f>
        <v>130.33000000000001</v>
      </c>
      <c r="Y104">
        <f>IF(Source!BI32=3,H104, 0)</f>
        <v>0</v>
      </c>
      <c r="Z104">
        <f>IF(Source!BI32=4,H104, 0)</f>
        <v>0</v>
      </c>
    </row>
    <row r="105" spans="1:28" ht="57" x14ac:dyDescent="0.2">
      <c r="A105" s="24">
        <v>11</v>
      </c>
      <c r="B105" s="24" t="str">
        <f>Source!E34</f>
        <v>9</v>
      </c>
      <c r="C105" s="25" t="str">
        <f>Source!F34</f>
        <v>м08-02-147-4</v>
      </c>
      <c r="D105" s="23" t="str">
        <f>Source!G34</f>
        <v>Кабель до 35 кВ по установленным конструкциям и лоткам с креплением на поворотах и в конце трассы, масса 1 м кабеля до 6 кг</v>
      </c>
      <c r="E105" s="26" t="str">
        <f>Source!H34</f>
        <v>100 М КАБЕЛЯ</v>
      </c>
      <c r="F105" s="10">
        <f>Source!I34</f>
        <v>0.44</v>
      </c>
      <c r="G105" s="28">
        <f>IF(Source!AK34&lt;&gt; 0, Source!AK34,Source!AL34 + Source!AM34 + Source!AO34)</f>
        <v>301.02999999999997</v>
      </c>
      <c r="H105" s="27"/>
      <c r="I105" s="28"/>
      <c r="J105" s="27" t="str">
        <f>Source!BO34</f>
        <v>м08-02-147-4</v>
      </c>
      <c r="K105" s="27"/>
      <c r="L105" s="28"/>
      <c r="M105" s="29"/>
      <c r="S105">
        <f>ROUND((Source!FX34/100)*((ROUND(Source!AF34*Source!I34, 2)+ROUND(Source!AE34*Source!I34, 2))), 2)</f>
        <v>78.69</v>
      </c>
      <c r="T105">
        <f>Source!X34</f>
        <v>2603.17</v>
      </c>
      <c r="U105">
        <f>ROUND((Source!FY34/100)*((ROUND(Source!AF34*Source!I34, 2)+ROUND(Source!AE34*Source!I34, 2))), 2)</f>
        <v>41.37</v>
      </c>
      <c r="V105">
        <f>Source!Y34</f>
        <v>1368.68</v>
      </c>
    </row>
    <row r="106" spans="1:28" x14ac:dyDescent="0.2">
      <c r="D106" s="30" t="str">
        <f>"Объем: "&amp;Source!I34&amp;"=44/"&amp;"100"</f>
        <v>Объем: 0,44=44/100</v>
      </c>
    </row>
    <row r="107" spans="1:28" ht="14.25" x14ac:dyDescent="0.2">
      <c r="A107" s="24"/>
      <c r="B107" s="24"/>
      <c r="C107" s="25"/>
      <c r="D107" s="23" t="s">
        <v>418</v>
      </c>
      <c r="E107" s="26"/>
      <c r="F107" s="10"/>
      <c r="G107" s="28">
        <f>Source!AO34</f>
        <v>181.96</v>
      </c>
      <c r="H107" s="27" t="str">
        <f>Source!DG34</f>
        <v/>
      </c>
      <c r="I107" s="28">
        <f>ROUND(Source!AF34*Source!I34, 2)</f>
        <v>80.06</v>
      </c>
      <c r="J107" s="27"/>
      <c r="K107" s="27">
        <f>IF(Source!BA34&lt;&gt; 0, Source!BA34, 1)</f>
        <v>33.08</v>
      </c>
      <c r="L107" s="28">
        <f>Source!S34</f>
        <v>2648.46</v>
      </c>
      <c r="M107" s="29"/>
      <c r="R107">
        <f>I107</f>
        <v>80.06</v>
      </c>
    </row>
    <row r="108" spans="1:28" ht="14.25" x14ac:dyDescent="0.2">
      <c r="A108" s="24"/>
      <c r="B108" s="24"/>
      <c r="C108" s="25"/>
      <c r="D108" s="23" t="s">
        <v>207</v>
      </c>
      <c r="E108" s="26"/>
      <c r="F108" s="10"/>
      <c r="G108" s="28">
        <f>Source!AM34</f>
        <v>86.36</v>
      </c>
      <c r="H108" s="27" t="str">
        <f>Source!DE34</f>
        <v/>
      </c>
      <c r="I108" s="28">
        <f>ROUND((((Source!ET34)-(Source!EU34))+Source!AE34)*Source!I34, 2)</f>
        <v>38</v>
      </c>
      <c r="J108" s="27"/>
      <c r="K108" s="27">
        <f>IF(Source!BB34&lt;&gt; 0, Source!BB34, 1)</f>
        <v>8.7899999999999991</v>
      </c>
      <c r="L108" s="28">
        <f>Source!Q34</f>
        <v>334.01</v>
      </c>
      <c r="M108" s="29"/>
    </row>
    <row r="109" spans="1:28" ht="14.25" x14ac:dyDescent="0.2">
      <c r="A109" s="24"/>
      <c r="B109" s="24"/>
      <c r="C109" s="25"/>
      <c r="D109" s="23" t="s">
        <v>419</v>
      </c>
      <c r="E109" s="26"/>
      <c r="F109" s="10"/>
      <c r="G109" s="28">
        <f>Source!AN34</f>
        <v>2.42</v>
      </c>
      <c r="H109" s="27" t="str">
        <f>Source!DF34</f>
        <v/>
      </c>
      <c r="I109" s="28">
        <f>ROUND(Source!AE34*Source!I34, 2)</f>
        <v>1.06</v>
      </c>
      <c r="J109" s="27"/>
      <c r="K109" s="27">
        <f>IF(Source!BS34&lt;&gt; 0, Source!BS34, 1)</f>
        <v>33.08</v>
      </c>
      <c r="L109" s="28">
        <f>Source!R34</f>
        <v>35.22</v>
      </c>
      <c r="M109" s="29"/>
      <c r="R109">
        <f>I109</f>
        <v>1.06</v>
      </c>
    </row>
    <row r="110" spans="1:28" ht="14.25" x14ac:dyDescent="0.2">
      <c r="A110" s="24"/>
      <c r="B110" s="24"/>
      <c r="C110" s="25"/>
      <c r="D110" s="23" t="s">
        <v>425</v>
      </c>
      <c r="E110" s="26"/>
      <c r="F110" s="10"/>
      <c r="G110" s="28">
        <f>Source!AL34</f>
        <v>32.71</v>
      </c>
      <c r="H110" s="27" t="str">
        <f>Source!DD34</f>
        <v/>
      </c>
      <c r="I110" s="28">
        <f>ROUND(Source!AC34*Source!I34, 2)</f>
        <v>14.39</v>
      </c>
      <c r="J110" s="27"/>
      <c r="K110" s="27">
        <f>IF(Source!BC34&lt;&gt; 0, Source!BC34, 1)</f>
        <v>12.49</v>
      </c>
      <c r="L110" s="28">
        <f>Source!P34</f>
        <v>179.76</v>
      </c>
      <c r="M110" s="29"/>
    </row>
    <row r="111" spans="1:28" ht="14.25" x14ac:dyDescent="0.2">
      <c r="A111" s="24"/>
      <c r="B111" s="24"/>
      <c r="C111" s="25"/>
      <c r="D111" s="23" t="s">
        <v>420</v>
      </c>
      <c r="E111" s="26" t="s">
        <v>421</v>
      </c>
      <c r="F111" s="10">
        <f>Source!BZ34</f>
        <v>97</v>
      </c>
      <c r="G111" s="31"/>
      <c r="H111" s="27"/>
      <c r="I111" s="28">
        <f>SUM(S105:S113)</f>
        <v>78.69</v>
      </c>
      <c r="J111" s="32"/>
      <c r="K111" s="23">
        <f>Source!AT34</f>
        <v>97</v>
      </c>
      <c r="L111" s="28">
        <f>SUM(T105:T113)</f>
        <v>2603.17</v>
      </c>
      <c r="M111" s="29"/>
    </row>
    <row r="112" spans="1:28" ht="14.25" x14ac:dyDescent="0.2">
      <c r="A112" s="24"/>
      <c r="B112" s="24"/>
      <c r="C112" s="25"/>
      <c r="D112" s="23" t="s">
        <v>422</v>
      </c>
      <c r="E112" s="26" t="s">
        <v>421</v>
      </c>
      <c r="F112" s="10">
        <f>Source!CA34</f>
        <v>51</v>
      </c>
      <c r="G112" s="31"/>
      <c r="H112" s="27"/>
      <c r="I112" s="28">
        <f>SUM(U105:U113)</f>
        <v>41.37</v>
      </c>
      <c r="J112" s="32"/>
      <c r="K112" s="23">
        <f>Source!AU34</f>
        <v>51</v>
      </c>
      <c r="L112" s="28">
        <f>SUM(V105:V113)</f>
        <v>1368.68</v>
      </c>
      <c r="M112" s="29"/>
    </row>
    <row r="113" spans="1:28" ht="14.25" x14ac:dyDescent="0.2">
      <c r="A113" s="36"/>
      <c r="B113" s="36"/>
      <c r="C113" s="37"/>
      <c r="D113" s="38" t="s">
        <v>423</v>
      </c>
      <c r="E113" s="39" t="s">
        <v>424</v>
      </c>
      <c r="F113" s="40">
        <f>Source!AQ34</f>
        <v>20.239999999999998</v>
      </c>
      <c r="G113" s="41"/>
      <c r="H113" s="42" t="str">
        <f>Source!DI34</f>
        <v/>
      </c>
      <c r="I113" s="41"/>
      <c r="J113" s="42"/>
      <c r="K113" s="42"/>
      <c r="L113" s="41"/>
      <c r="M113" s="43">
        <f>Source!U34</f>
        <v>8.9055999999999997</v>
      </c>
    </row>
    <row r="114" spans="1:28" ht="15" x14ac:dyDescent="0.25">
      <c r="H114" s="87">
        <f>ROUND(Source!AC34*Source!I34, 2)+ROUND(Source!AF34*Source!I34, 2)+ROUND((((Source!ET34)-(Source!EU34))+Source!AE34)*Source!I34, 2)+SUM(I111:I112)</f>
        <v>252.51</v>
      </c>
      <c r="I114" s="87"/>
      <c r="K114" s="87">
        <f>Source!O34+SUM(L111:L112)</f>
        <v>7134.08</v>
      </c>
      <c r="L114" s="87"/>
      <c r="M114" s="35">
        <f>Source!U34</f>
        <v>8.9055999999999997</v>
      </c>
      <c r="O114" s="34">
        <f>H114</f>
        <v>252.51</v>
      </c>
      <c r="P114" s="34">
        <f>K114</f>
        <v>7134.08</v>
      </c>
      <c r="Q114" s="34">
        <f>M114</f>
        <v>8.9055999999999997</v>
      </c>
      <c r="W114">
        <f>IF(Source!BI34&lt;=1,H114, 0)</f>
        <v>0</v>
      </c>
      <c r="X114">
        <f>IF(Source!BI34=2,H114, 0)</f>
        <v>252.51</v>
      </c>
      <c r="Y114">
        <f>IF(Source!BI34=3,H114, 0)</f>
        <v>0</v>
      </c>
      <c r="Z114">
        <f>IF(Source!BI34=4,H114, 0)</f>
        <v>0</v>
      </c>
    </row>
    <row r="115" spans="1:28" ht="42.75" x14ac:dyDescent="0.2">
      <c r="A115" s="24">
        <v>12</v>
      </c>
      <c r="B115" s="24" t="str">
        <f>Source!E35</f>
        <v>10</v>
      </c>
      <c r="C115" s="25" t="str">
        <f>Source!F35</f>
        <v>м08-02-145-4</v>
      </c>
      <c r="D115" s="23" t="str">
        <f>Source!G35</f>
        <v>Кабель до 35 кВ, прокладываемый по дну канала без креплений, масса 1 м кабеля до 6 кг</v>
      </c>
      <c r="E115" s="26" t="str">
        <f>Source!H35</f>
        <v>100 М КАБЕЛЯ</v>
      </c>
      <c r="F115" s="10">
        <f>Source!I35</f>
        <v>0.8</v>
      </c>
      <c r="G115" s="28">
        <f>IF(Source!AK35&lt;&gt; 0, Source!AK35,Source!AL35 + Source!AM35 + Source!AO35)</f>
        <v>207.19</v>
      </c>
      <c r="H115" s="27"/>
      <c r="I115" s="28"/>
      <c r="J115" s="27" t="str">
        <f>Source!BO35</f>
        <v>м08-02-145-4</v>
      </c>
      <c r="K115" s="27"/>
      <c r="L115" s="28"/>
      <c r="M115" s="29"/>
      <c r="S115">
        <f>ROUND((Source!FX35/100)*((ROUND(Source!AF35*Source!I35, 2)+ROUND(Source!AE35*Source!I35, 2))), 2)</f>
        <v>73.319999999999993</v>
      </c>
      <c r="T115">
        <f>Source!X35</f>
        <v>2425.31</v>
      </c>
      <c r="U115">
        <f>ROUND((Source!FY35/100)*((ROUND(Source!AF35*Source!I35, 2)+ROUND(Source!AE35*Source!I35, 2))), 2)</f>
        <v>38.549999999999997</v>
      </c>
      <c r="V115">
        <f>Source!Y35</f>
        <v>1275.1600000000001</v>
      </c>
    </row>
    <row r="116" spans="1:28" x14ac:dyDescent="0.2">
      <c r="D116" s="30" t="str">
        <f>"Объем: "&amp;Source!I35&amp;"=80/"&amp;"100"</f>
        <v>Объем: 0,8=80/100</v>
      </c>
    </row>
    <row r="117" spans="1:28" ht="14.25" x14ac:dyDescent="0.2">
      <c r="A117" s="24"/>
      <c r="B117" s="24"/>
      <c r="C117" s="25"/>
      <c r="D117" s="23" t="s">
        <v>418</v>
      </c>
      <c r="E117" s="26"/>
      <c r="F117" s="10"/>
      <c r="G117" s="28">
        <f>Source!AO35</f>
        <v>92.06</v>
      </c>
      <c r="H117" s="27" t="str">
        <f>Source!DG35</f>
        <v/>
      </c>
      <c r="I117" s="28">
        <f>ROUND(Source!AF35*Source!I35, 2)</f>
        <v>73.650000000000006</v>
      </c>
      <c r="J117" s="27"/>
      <c r="K117" s="27">
        <f>IF(Source!BA35&lt;&gt; 0, Source!BA35, 1)</f>
        <v>33.08</v>
      </c>
      <c r="L117" s="28">
        <f>Source!S35</f>
        <v>2436.2800000000002</v>
      </c>
      <c r="M117" s="29"/>
      <c r="R117">
        <f>I117</f>
        <v>73.650000000000006</v>
      </c>
    </row>
    <row r="118" spans="1:28" ht="14.25" x14ac:dyDescent="0.2">
      <c r="A118" s="24"/>
      <c r="B118" s="24"/>
      <c r="C118" s="25"/>
      <c r="D118" s="23" t="s">
        <v>207</v>
      </c>
      <c r="E118" s="26"/>
      <c r="F118" s="10"/>
      <c r="G118" s="28">
        <f>Source!AM35</f>
        <v>65.3</v>
      </c>
      <c r="H118" s="27" t="str">
        <f>Source!DE35</f>
        <v/>
      </c>
      <c r="I118" s="28">
        <f>ROUND((((Source!ET35)-(Source!EU35))+Source!AE35)*Source!I35, 2)</f>
        <v>52.24</v>
      </c>
      <c r="J118" s="27"/>
      <c r="K118" s="27">
        <f>IF(Source!BB35&lt;&gt; 0, Source!BB35, 1)</f>
        <v>9.94</v>
      </c>
      <c r="L118" s="28">
        <f>Source!Q35</f>
        <v>519.27</v>
      </c>
      <c r="M118" s="29"/>
    </row>
    <row r="119" spans="1:28" ht="14.25" x14ac:dyDescent="0.2">
      <c r="A119" s="24"/>
      <c r="B119" s="24"/>
      <c r="C119" s="25"/>
      <c r="D119" s="23" t="s">
        <v>419</v>
      </c>
      <c r="E119" s="26"/>
      <c r="F119" s="10"/>
      <c r="G119" s="28">
        <f>Source!AN35</f>
        <v>2.42</v>
      </c>
      <c r="H119" s="27" t="str">
        <f>Source!DF35</f>
        <v/>
      </c>
      <c r="I119" s="28">
        <f>ROUND(Source!AE35*Source!I35, 2)</f>
        <v>1.94</v>
      </c>
      <c r="J119" s="27"/>
      <c r="K119" s="27">
        <f>IF(Source!BS35&lt;&gt; 0, Source!BS35, 1)</f>
        <v>33.08</v>
      </c>
      <c r="L119" s="28">
        <f>Source!R35</f>
        <v>64.040000000000006</v>
      </c>
      <c r="M119" s="29"/>
      <c r="R119">
        <f>I119</f>
        <v>1.94</v>
      </c>
    </row>
    <row r="120" spans="1:28" ht="14.25" x14ac:dyDescent="0.2">
      <c r="A120" s="24"/>
      <c r="B120" s="24"/>
      <c r="C120" s="25"/>
      <c r="D120" s="23" t="s">
        <v>425</v>
      </c>
      <c r="E120" s="26"/>
      <c r="F120" s="10"/>
      <c r="G120" s="28">
        <f>Source!AL35</f>
        <v>49.83</v>
      </c>
      <c r="H120" s="27" t="str">
        <f>Source!DD35</f>
        <v/>
      </c>
      <c r="I120" s="28">
        <f>ROUND(Source!AC35*Source!I35, 2)</f>
        <v>39.86</v>
      </c>
      <c r="J120" s="27"/>
      <c r="K120" s="27">
        <f>IF(Source!BC35&lt;&gt; 0, Source!BC35, 1)</f>
        <v>10.82</v>
      </c>
      <c r="L120" s="28">
        <f>Source!P35</f>
        <v>431.33</v>
      </c>
      <c r="M120" s="29"/>
    </row>
    <row r="121" spans="1:28" ht="14.25" x14ac:dyDescent="0.2">
      <c r="A121" s="24"/>
      <c r="B121" s="24"/>
      <c r="C121" s="25"/>
      <c r="D121" s="23" t="s">
        <v>420</v>
      </c>
      <c r="E121" s="26" t="s">
        <v>421</v>
      </c>
      <c r="F121" s="10">
        <f>Source!BZ35</f>
        <v>97</v>
      </c>
      <c r="G121" s="31"/>
      <c r="H121" s="27"/>
      <c r="I121" s="28">
        <f>SUM(S115:S124)</f>
        <v>73.319999999999993</v>
      </c>
      <c r="J121" s="32"/>
      <c r="K121" s="23">
        <f>Source!AT35</f>
        <v>97</v>
      </c>
      <c r="L121" s="28">
        <f>SUM(T115:T124)</f>
        <v>2425.31</v>
      </c>
      <c r="M121" s="29"/>
    </row>
    <row r="122" spans="1:28" ht="14.25" x14ac:dyDescent="0.2">
      <c r="A122" s="24"/>
      <c r="B122" s="24"/>
      <c r="C122" s="25"/>
      <c r="D122" s="23" t="s">
        <v>422</v>
      </c>
      <c r="E122" s="26" t="s">
        <v>421</v>
      </c>
      <c r="F122" s="10">
        <f>Source!CA35</f>
        <v>51</v>
      </c>
      <c r="G122" s="31"/>
      <c r="H122" s="27"/>
      <c r="I122" s="28">
        <f>SUM(U115:U124)</f>
        <v>38.549999999999997</v>
      </c>
      <c r="J122" s="32"/>
      <c r="K122" s="23">
        <f>Source!AU35</f>
        <v>51</v>
      </c>
      <c r="L122" s="28">
        <f>SUM(V115:V124)</f>
        <v>1275.1600000000001</v>
      </c>
      <c r="M122" s="29"/>
    </row>
    <row r="123" spans="1:28" ht="14.25" x14ac:dyDescent="0.2">
      <c r="A123" s="24"/>
      <c r="B123" s="24"/>
      <c r="C123" s="25"/>
      <c r="D123" s="23" t="s">
        <v>423</v>
      </c>
      <c r="E123" s="26" t="s">
        <v>424</v>
      </c>
      <c r="F123" s="10">
        <f>Source!AQ35</f>
        <v>10.24</v>
      </c>
      <c r="G123" s="28"/>
      <c r="H123" s="27" t="str">
        <f>Source!DI35</f>
        <v/>
      </c>
      <c r="I123" s="28"/>
      <c r="J123" s="27"/>
      <c r="K123" s="27"/>
      <c r="L123" s="28"/>
      <c r="M123" s="33">
        <f>Source!U35</f>
        <v>8.1920000000000002</v>
      </c>
    </row>
    <row r="124" spans="1:28" ht="28.5" x14ac:dyDescent="0.2">
      <c r="A124" s="52">
        <v>13</v>
      </c>
      <c r="B124" s="52" t="str">
        <f>Source!E36</f>
        <v>10,1</v>
      </c>
      <c r="C124" s="52" t="str">
        <f>Source!F36</f>
        <v>506-1362</v>
      </c>
      <c r="D124" s="52" t="str">
        <f>Source!G36</f>
        <v>Припои оловянно-свинцовые бессурьмянистые марки ПОС30</v>
      </c>
      <c r="E124" s="53" t="str">
        <f>Source!H36</f>
        <v>кг</v>
      </c>
      <c r="F124" s="54">
        <f>Source!I36</f>
        <v>-0.4</v>
      </c>
      <c r="G124" s="55">
        <f>Source!AK36</f>
        <v>71.45</v>
      </c>
      <c r="H124" s="56" t="s">
        <v>3</v>
      </c>
      <c r="I124" s="55">
        <f>ROUND(Source!AC36*Source!I36, 2)+ROUND((((Source!ET36)-(Source!EU36))+Source!AE36)*Source!I36, 2)+ROUND(Source!AF36*Source!I36, 2)</f>
        <v>-28.58</v>
      </c>
      <c r="J124" s="53"/>
      <c r="K124" s="53">
        <f>IF(Source!BC36&lt;&gt; 0, Source!BC36, 1)</f>
        <v>11.19</v>
      </c>
      <c r="L124" s="55">
        <f>Source!O36</f>
        <v>-319.81</v>
      </c>
      <c r="M124" s="55"/>
      <c r="S124">
        <f>ROUND((Source!FX36/100)*((ROUND(Source!AF36*Source!I36, 2)+ROUND(Source!AE36*Source!I36, 2))), 2)</f>
        <v>0</v>
      </c>
      <c r="T124">
        <f>Source!X36</f>
        <v>0</v>
      </c>
      <c r="U124">
        <f>ROUND((Source!FY36/100)*((ROUND(Source!AF36*Source!I36, 2)+ROUND(Source!AE36*Source!I36, 2))), 2)</f>
        <v>0</v>
      </c>
      <c r="V124">
        <f>Source!Y36</f>
        <v>0</v>
      </c>
      <c r="Y124">
        <f>IF(Source!BI36=3,I124, 0)</f>
        <v>0</v>
      </c>
      <c r="AA124">
        <f>ROUND(Source!AC36*Source!I36, 2)+ROUND((((Source!ET36)-(Source!EU36))+Source!AE36)*Source!I36, 2)+ROUND(Source!AF36*Source!I36, 2)</f>
        <v>-28.58</v>
      </c>
      <c r="AB124">
        <f>Source!O36</f>
        <v>-319.81</v>
      </c>
    </row>
    <row r="125" spans="1:28" ht="15" x14ac:dyDescent="0.25">
      <c r="H125" s="87">
        <f>ROUND(Source!AC35*Source!I35, 2)+ROUND(Source!AF35*Source!I35, 2)+ROUND((((Source!ET35)-(Source!EU35))+Source!AE35)*Source!I35, 2)+SUM(I121:I122)+SUM(AA124:AA124)</f>
        <v>249.04000000000002</v>
      </c>
      <c r="I125" s="87"/>
      <c r="K125" s="87">
        <f>Source!O35+SUM(L121:L122)+SUM(AB124:AB124)</f>
        <v>6767.54</v>
      </c>
      <c r="L125" s="87"/>
      <c r="M125" s="35">
        <f>Source!U35</f>
        <v>8.1920000000000002</v>
      </c>
      <c r="O125" s="34">
        <f>H125</f>
        <v>249.04000000000002</v>
      </c>
      <c r="P125" s="34">
        <f>K125</f>
        <v>6767.54</v>
      </c>
      <c r="Q125" s="34">
        <f>M125</f>
        <v>8.1920000000000002</v>
      </c>
      <c r="W125">
        <f>IF(Source!BI35&lt;=1,H125, 0)</f>
        <v>0</v>
      </c>
      <c r="X125">
        <f>IF(Source!BI35=2,H125, 0)</f>
        <v>249.04000000000002</v>
      </c>
      <c r="Y125">
        <f>IF(Source!BI35=3,H125, 0)</f>
        <v>0</v>
      </c>
      <c r="Z125">
        <f>IF(Source!BI35=4,H125, 0)</f>
        <v>0</v>
      </c>
    </row>
    <row r="126" spans="1:28" ht="42.75" x14ac:dyDescent="0.2">
      <c r="A126" s="24">
        <v>14</v>
      </c>
      <c r="B126" s="24" t="str">
        <f>Source!E37</f>
        <v>11</v>
      </c>
      <c r="C126" s="25" t="str">
        <f>Source!F37</f>
        <v>м08-02-155-1</v>
      </c>
      <c r="D126" s="23" t="str">
        <f>Source!G37</f>
        <v>Герметизация проходов при вводе кабелей во взрывоопасные помещения уплотнительной массой</v>
      </c>
      <c r="E126" s="26" t="str">
        <f>Source!H37</f>
        <v>1 проход кабеля</v>
      </c>
      <c r="F126" s="10">
        <f>Source!I37</f>
        <v>8</v>
      </c>
      <c r="G126" s="28">
        <f>IF(Source!AK37&lt;&gt; 0, Source!AK37,Source!AL37 + Source!AM37 + Source!AO37)</f>
        <v>18.68</v>
      </c>
      <c r="H126" s="27"/>
      <c r="I126" s="28"/>
      <c r="J126" s="27" t="str">
        <f>Source!BO37</f>
        <v>м08-02-155-1</v>
      </c>
      <c r="K126" s="27"/>
      <c r="L126" s="28"/>
      <c r="M126" s="29"/>
      <c r="S126">
        <f>ROUND((Source!FX37/100)*((ROUND(Source!AF37*Source!I37, 2)+ROUND(Source!AE37*Source!I37, 2))), 2)</f>
        <v>26.54</v>
      </c>
      <c r="T126">
        <f>Source!X37</f>
        <v>877.92</v>
      </c>
      <c r="U126">
        <f>ROUND((Source!FY37/100)*((ROUND(Source!AF37*Source!I37, 2)+ROUND(Source!AE37*Source!I37, 2))), 2)</f>
        <v>13.95</v>
      </c>
      <c r="V126">
        <f>Source!Y37</f>
        <v>461.59</v>
      </c>
    </row>
    <row r="127" spans="1:28" ht="14.25" x14ac:dyDescent="0.2">
      <c r="A127" s="24"/>
      <c r="B127" s="24"/>
      <c r="C127" s="25"/>
      <c r="D127" s="23" t="s">
        <v>418</v>
      </c>
      <c r="E127" s="26"/>
      <c r="F127" s="10"/>
      <c r="G127" s="28">
        <f>Source!AO37</f>
        <v>3.42</v>
      </c>
      <c r="H127" s="27" t="str">
        <f>Source!DG37</f>
        <v/>
      </c>
      <c r="I127" s="28">
        <f>ROUND(Source!AF37*Source!I37, 2)</f>
        <v>27.36</v>
      </c>
      <c r="J127" s="27"/>
      <c r="K127" s="27">
        <f>IF(Source!BA37&lt;&gt; 0, Source!BA37, 1)</f>
        <v>33.08</v>
      </c>
      <c r="L127" s="28">
        <f>Source!S37</f>
        <v>905.07</v>
      </c>
      <c r="M127" s="29"/>
      <c r="R127">
        <f>I127</f>
        <v>27.36</v>
      </c>
    </row>
    <row r="128" spans="1:28" ht="14.25" x14ac:dyDescent="0.2">
      <c r="A128" s="24"/>
      <c r="B128" s="24"/>
      <c r="C128" s="25"/>
      <c r="D128" s="23" t="s">
        <v>425</v>
      </c>
      <c r="E128" s="26"/>
      <c r="F128" s="10"/>
      <c r="G128" s="28">
        <f>Source!AL37</f>
        <v>15.26</v>
      </c>
      <c r="H128" s="27" t="str">
        <f>Source!DD37</f>
        <v/>
      </c>
      <c r="I128" s="28">
        <f>ROUND(Source!AC37*Source!I37, 2)</f>
        <v>122.08</v>
      </c>
      <c r="J128" s="27"/>
      <c r="K128" s="27">
        <f>IF(Source!BC37&lt;&gt; 0, Source!BC37, 1)</f>
        <v>7.49</v>
      </c>
      <c r="L128" s="28">
        <f>Source!P37</f>
        <v>914.38</v>
      </c>
      <c r="M128" s="29"/>
    </row>
    <row r="129" spans="1:28" ht="14.25" x14ac:dyDescent="0.2">
      <c r="A129" s="24"/>
      <c r="B129" s="24"/>
      <c r="C129" s="25"/>
      <c r="D129" s="23" t="s">
        <v>420</v>
      </c>
      <c r="E129" s="26" t="s">
        <v>421</v>
      </c>
      <c r="F129" s="10">
        <f>Source!BZ37</f>
        <v>97</v>
      </c>
      <c r="G129" s="31"/>
      <c r="H129" s="27"/>
      <c r="I129" s="28">
        <f>SUM(S126:S135)</f>
        <v>26.54</v>
      </c>
      <c r="J129" s="32"/>
      <c r="K129" s="23">
        <f>Source!AT37</f>
        <v>97</v>
      </c>
      <c r="L129" s="28">
        <f>SUM(T126:T135)</f>
        <v>877.92</v>
      </c>
      <c r="M129" s="29"/>
    </row>
    <row r="130" spans="1:28" ht="14.25" x14ac:dyDescent="0.2">
      <c r="A130" s="24"/>
      <c r="B130" s="24"/>
      <c r="C130" s="25"/>
      <c r="D130" s="23" t="s">
        <v>422</v>
      </c>
      <c r="E130" s="26" t="s">
        <v>421</v>
      </c>
      <c r="F130" s="10">
        <f>Source!CA37</f>
        <v>51</v>
      </c>
      <c r="G130" s="31"/>
      <c r="H130" s="27"/>
      <c r="I130" s="28">
        <f>SUM(U126:U135)</f>
        <v>13.95</v>
      </c>
      <c r="J130" s="32"/>
      <c r="K130" s="23">
        <f>Source!AU37</f>
        <v>51</v>
      </c>
      <c r="L130" s="28">
        <f>SUM(V126:V135)</f>
        <v>461.59</v>
      </c>
      <c r="M130" s="29"/>
    </row>
    <row r="131" spans="1:28" ht="14.25" x14ac:dyDescent="0.2">
      <c r="A131" s="24"/>
      <c r="B131" s="24"/>
      <c r="C131" s="25"/>
      <c r="D131" s="23" t="s">
        <v>423</v>
      </c>
      <c r="E131" s="26" t="s">
        <v>424</v>
      </c>
      <c r="F131" s="10">
        <f>Source!AQ37</f>
        <v>0.38</v>
      </c>
      <c r="G131" s="28"/>
      <c r="H131" s="27" t="str">
        <f>Source!DI37</f>
        <v/>
      </c>
      <c r="I131" s="28"/>
      <c r="J131" s="27"/>
      <c r="K131" s="27"/>
      <c r="L131" s="28"/>
      <c r="M131" s="33">
        <f>Source!U37</f>
        <v>3.04</v>
      </c>
    </row>
    <row r="132" spans="1:28" ht="14.25" x14ac:dyDescent="0.2">
      <c r="A132" s="47">
        <v>15</v>
      </c>
      <c r="B132" s="47" t="str">
        <f>Source!E38</f>
        <v>11,1</v>
      </c>
      <c r="C132" s="47" t="str">
        <f>Source!F38</f>
        <v>101-1705</v>
      </c>
      <c r="D132" s="47" t="str">
        <f>Source!G38</f>
        <v>Пакля пропитанная</v>
      </c>
      <c r="E132" s="49" t="str">
        <f>Source!H38</f>
        <v>кг</v>
      </c>
      <c r="F132" s="48">
        <f>Source!I38</f>
        <v>-1.2</v>
      </c>
      <c r="G132" s="50">
        <f>Source!AK38</f>
        <v>9.0399999999999991</v>
      </c>
      <c r="H132" s="51" t="s">
        <v>3</v>
      </c>
      <c r="I132" s="50">
        <f>ROUND(Source!AC38*Source!I38, 2)+ROUND((((Source!ET38)-(Source!EU38))+Source!AE38)*Source!I38, 2)+ROUND(Source!AF38*Source!I38, 2)</f>
        <v>-10.85</v>
      </c>
      <c r="J132" s="49"/>
      <c r="K132" s="49">
        <f>IF(Source!BC38&lt;&gt; 0, Source!BC38, 1)</f>
        <v>10.31</v>
      </c>
      <c r="L132" s="50">
        <f>Source!O38</f>
        <v>-111.84</v>
      </c>
      <c r="M132" s="50"/>
      <c r="S132">
        <f>ROUND((Source!FX38/100)*((ROUND(Source!AF38*Source!I38, 2)+ROUND(Source!AE38*Source!I38, 2))), 2)</f>
        <v>0</v>
      </c>
      <c r="T132">
        <f>Source!X38</f>
        <v>0</v>
      </c>
      <c r="U132">
        <f>ROUND((Source!FY38/100)*((ROUND(Source!AF38*Source!I38, 2)+ROUND(Source!AE38*Source!I38, 2))), 2)</f>
        <v>0</v>
      </c>
      <c r="V132">
        <f>Source!Y38</f>
        <v>0</v>
      </c>
      <c r="Y132">
        <f>IF(Source!BI38=3,I132, 0)</f>
        <v>0</v>
      </c>
      <c r="AA132">
        <f>ROUND(Source!AC38*Source!I38, 2)+ROUND((((Source!ET38)-(Source!EU38))+Source!AE38)*Source!I38, 2)+ROUND(Source!AF38*Source!I38, 2)</f>
        <v>-10.85</v>
      </c>
      <c r="AB132">
        <f>Source!O38</f>
        <v>-111.84</v>
      </c>
    </row>
    <row r="133" spans="1:28" ht="14.25" x14ac:dyDescent="0.2">
      <c r="A133" s="47">
        <v>16</v>
      </c>
      <c r="B133" s="47" t="str">
        <f>Source!E39</f>
        <v>11,2</v>
      </c>
      <c r="C133" s="47" t="str">
        <f>Source!F39</f>
        <v>509-0900</v>
      </c>
      <c r="D133" s="47" t="str">
        <f>Source!G39</f>
        <v>Уплотнительный состав</v>
      </c>
      <c r="E133" s="49" t="str">
        <f>Source!H39</f>
        <v>кг</v>
      </c>
      <c r="F133" s="48">
        <f>Source!I39</f>
        <v>-5.76</v>
      </c>
      <c r="G133" s="50">
        <f>Source!AK39</f>
        <v>16.940000000000001</v>
      </c>
      <c r="H133" s="51" t="s">
        <v>3</v>
      </c>
      <c r="I133" s="50">
        <f>ROUND(Source!AC39*Source!I39, 2)+ROUND((((Source!ET39)-(Source!EU39))+Source!AE39)*Source!I39, 2)+ROUND(Source!AF39*Source!I39, 2)</f>
        <v>-97.57</v>
      </c>
      <c r="J133" s="49"/>
      <c r="K133" s="49">
        <f>IF(Source!BC39&lt;&gt; 0, Source!BC39, 1)</f>
        <v>5.94</v>
      </c>
      <c r="L133" s="50">
        <f>Source!O39</f>
        <v>-579.59</v>
      </c>
      <c r="M133" s="50"/>
      <c r="S133">
        <f>ROUND((Source!FX39/100)*((ROUND(Source!AF39*Source!I39, 2)+ROUND(Source!AE39*Source!I39, 2))), 2)</f>
        <v>0</v>
      </c>
      <c r="T133">
        <f>Source!X39</f>
        <v>0</v>
      </c>
      <c r="U133">
        <f>ROUND((Source!FY39/100)*((ROUND(Source!AF39*Source!I39, 2)+ROUND(Source!AE39*Source!I39, 2))), 2)</f>
        <v>0</v>
      </c>
      <c r="V133">
        <f>Source!Y39</f>
        <v>0</v>
      </c>
      <c r="Y133">
        <f>IF(Source!BI39=3,I133, 0)</f>
        <v>0</v>
      </c>
      <c r="AA133">
        <f>ROUND(Source!AC39*Source!I39, 2)+ROUND((((Source!ET39)-(Source!EU39))+Source!AE39)*Source!I39, 2)+ROUND(Source!AF39*Source!I39, 2)</f>
        <v>-97.57</v>
      </c>
      <c r="AB133">
        <f>Source!O39</f>
        <v>-579.59</v>
      </c>
    </row>
    <row r="134" spans="1:28" ht="28.5" x14ac:dyDescent="0.2">
      <c r="A134" s="47">
        <v>17</v>
      </c>
      <c r="B134" s="47" t="str">
        <f>Source!E40</f>
        <v>11,3</v>
      </c>
      <c r="C134" s="47" t="str">
        <f>Source!F40</f>
        <v>509-0988</v>
      </c>
      <c r="D134" s="47" t="str">
        <f>Source!G40</f>
        <v>Шнур асбестовый общего назначения марки ШАОН диаметром 3-5 мм</v>
      </c>
      <c r="E134" s="49" t="str">
        <f>Source!H40</f>
        <v>т</v>
      </c>
      <c r="F134" s="48">
        <f>Source!I40</f>
        <v>-4.8000000000000001E-4</v>
      </c>
      <c r="G134" s="50">
        <f>Source!AK40</f>
        <v>27354.25</v>
      </c>
      <c r="H134" s="51" t="s">
        <v>3</v>
      </c>
      <c r="I134" s="50">
        <f>ROUND(Source!AC40*Source!I40, 2)+ROUND((((Source!ET40)-(Source!EU40))+Source!AE40)*Source!I40, 2)+ROUND(Source!AF40*Source!I40, 2)</f>
        <v>-13.13</v>
      </c>
      <c r="J134" s="49"/>
      <c r="K134" s="49">
        <f>IF(Source!BC40&lt;&gt; 0, Source!BC40, 1)</f>
        <v>15.67</v>
      </c>
      <c r="L134" s="50">
        <f>Source!O40</f>
        <v>-205.75</v>
      </c>
      <c r="M134" s="50"/>
      <c r="S134">
        <f>ROUND((Source!FX40/100)*((ROUND(Source!AF40*Source!I40, 2)+ROUND(Source!AE40*Source!I40, 2))), 2)</f>
        <v>0</v>
      </c>
      <c r="T134">
        <f>Source!X40</f>
        <v>0</v>
      </c>
      <c r="U134">
        <f>ROUND((Source!FY40/100)*((ROUND(Source!AF40*Source!I40, 2)+ROUND(Source!AE40*Source!I40, 2))), 2)</f>
        <v>0</v>
      </c>
      <c r="V134">
        <f>Source!Y40</f>
        <v>0</v>
      </c>
      <c r="Y134">
        <f>IF(Source!BI40=3,I134, 0)</f>
        <v>0</v>
      </c>
      <c r="AA134">
        <f>ROUND(Source!AC40*Source!I40, 2)+ROUND((((Source!ET40)-(Source!EU40))+Source!AE40)*Source!I40, 2)+ROUND(Source!AF40*Source!I40, 2)</f>
        <v>-13.13</v>
      </c>
      <c r="AB134">
        <f>Source!O40</f>
        <v>-205.75</v>
      </c>
    </row>
    <row r="135" spans="1:28" ht="28.5" x14ac:dyDescent="0.2">
      <c r="A135" s="52">
        <v>18</v>
      </c>
      <c r="B135" s="52" t="str">
        <f>Source!E41</f>
        <v>11,4</v>
      </c>
      <c r="C135" s="52" t="str">
        <f>Source!F41</f>
        <v>999-9950</v>
      </c>
      <c r="D135" s="52" t="str">
        <f>Source!G41</f>
        <v>Вспомогательные ненормируемые материалы (2% от ОЗП)</v>
      </c>
      <c r="E135" s="53" t="str">
        <f>Source!H41</f>
        <v>РУБ</v>
      </c>
      <c r="F135" s="54">
        <f>Source!I41</f>
        <v>-0.56000000000000005</v>
      </c>
      <c r="G135" s="55">
        <f>Source!AK41</f>
        <v>1</v>
      </c>
      <c r="H135" s="56" t="s">
        <v>3</v>
      </c>
      <c r="I135" s="55">
        <f>ROUND(Source!AC41*Source!I41, 2)+ROUND((((Source!ET41)-(Source!EU41))+Source!AE41)*Source!I41, 2)+ROUND(Source!AF41*Source!I41, 2)</f>
        <v>-0.56000000000000005</v>
      </c>
      <c r="J135" s="53"/>
      <c r="K135" s="53">
        <f>IF(Source!BC41&lt;&gt; 0, Source!BC41, 1)</f>
        <v>1</v>
      </c>
      <c r="L135" s="55">
        <f>Source!O41</f>
        <v>-0.56000000000000005</v>
      </c>
      <c r="M135" s="55"/>
      <c r="S135">
        <f>ROUND((Source!FX41/100)*((ROUND(Source!AF41*Source!I41, 2)+ROUND(Source!AE41*Source!I41, 2))), 2)</f>
        <v>0</v>
      </c>
      <c r="T135">
        <f>Source!X41</f>
        <v>0</v>
      </c>
      <c r="U135">
        <f>ROUND((Source!FY41/100)*((ROUND(Source!AF41*Source!I41, 2)+ROUND(Source!AE41*Source!I41, 2))), 2)</f>
        <v>0</v>
      </c>
      <c r="V135">
        <f>Source!Y41</f>
        <v>0</v>
      </c>
      <c r="Y135">
        <f>IF(Source!BI41=3,I135, 0)</f>
        <v>0</v>
      </c>
      <c r="AA135">
        <f>ROUND(Source!AC41*Source!I41, 2)+ROUND((((Source!ET41)-(Source!EU41))+Source!AE41)*Source!I41, 2)+ROUND(Source!AF41*Source!I41, 2)</f>
        <v>-0.56000000000000005</v>
      </c>
      <c r="AB135">
        <f>Source!O41</f>
        <v>-0.56000000000000005</v>
      </c>
    </row>
    <row r="136" spans="1:28" ht="15" x14ac:dyDescent="0.25">
      <c r="H136" s="87">
        <f>ROUND(Source!AC37*Source!I37, 2)+ROUND(Source!AF37*Source!I37, 2)+ROUND((((Source!ET37)-(Source!EU37))+Source!AE37)*Source!I37, 2)+SUM(I129:I130)+SUM(AA132:AA135)</f>
        <v>67.820000000000022</v>
      </c>
      <c r="I136" s="87"/>
      <c r="K136" s="87">
        <f>Source!O37+SUM(L129:L130)+SUM(AB132:AB135)</f>
        <v>2261.2200000000003</v>
      </c>
      <c r="L136" s="87"/>
      <c r="M136" s="35">
        <f>Source!U37</f>
        <v>3.04</v>
      </c>
      <c r="O136" s="34">
        <f>H136</f>
        <v>67.820000000000022</v>
      </c>
      <c r="P136" s="34">
        <f>K136</f>
        <v>2261.2200000000003</v>
      </c>
      <c r="Q136" s="34">
        <f>M136</f>
        <v>3.04</v>
      </c>
      <c r="W136">
        <f>IF(Source!BI37&lt;=1,H136, 0)</f>
        <v>0</v>
      </c>
      <c r="X136">
        <f>IF(Source!BI37=2,H136, 0)</f>
        <v>67.820000000000022</v>
      </c>
      <c r="Y136">
        <f>IF(Source!BI37=3,H136, 0)</f>
        <v>0</v>
      </c>
      <c r="Z136">
        <f>IF(Source!BI37=4,H136, 0)</f>
        <v>0</v>
      </c>
    </row>
    <row r="137" spans="1:28" ht="57" x14ac:dyDescent="0.2">
      <c r="A137" s="24">
        <v>19</v>
      </c>
      <c r="B137" s="24" t="str">
        <f>Source!E42</f>
        <v>12</v>
      </c>
      <c r="C137" s="25" t="str">
        <f>Source!F42</f>
        <v>м08-02-158-17</v>
      </c>
      <c r="D137" s="23" t="str">
        <f>Source!G42</f>
        <v>Заделка концевая сухая для 3-4-жильного кабеля с пластмассовой и резиновой изоляцией напряжением до 1 кВ, сечение одной жилы до 240 мм2</v>
      </c>
      <c r="E137" s="26" t="str">
        <f>Source!H42</f>
        <v>1  ШТ.</v>
      </c>
      <c r="F137" s="10">
        <f>Source!I42</f>
        <v>4</v>
      </c>
      <c r="G137" s="28">
        <f>IF(Source!AK42&lt;&gt; 0, Source!AK42,Source!AL42 + Source!AM42 + Source!AO42)</f>
        <v>19.559999999999999</v>
      </c>
      <c r="H137" s="27"/>
      <c r="I137" s="28"/>
      <c r="J137" s="27" t="str">
        <f>Source!BO42</f>
        <v>м08-02-158-17</v>
      </c>
      <c r="K137" s="27"/>
      <c r="L137" s="28"/>
      <c r="M137" s="29"/>
      <c r="S137">
        <f>ROUND((Source!FX42/100)*((ROUND(Source!AF42*Source!I42, 2)+ROUND(Source!AE42*Source!I42, 2))), 2)</f>
        <v>47.22</v>
      </c>
      <c r="T137">
        <f>Source!X42</f>
        <v>1562.03</v>
      </c>
      <c r="U137">
        <f>ROUND((Source!FY42/100)*((ROUND(Source!AF42*Source!I42, 2)+ROUND(Source!AE42*Source!I42, 2))), 2)</f>
        <v>24.83</v>
      </c>
      <c r="V137">
        <f>Source!Y42</f>
        <v>821.27</v>
      </c>
    </row>
    <row r="138" spans="1:28" ht="14.25" x14ac:dyDescent="0.2">
      <c r="A138" s="24"/>
      <c r="B138" s="24"/>
      <c r="C138" s="25"/>
      <c r="D138" s="23" t="s">
        <v>418</v>
      </c>
      <c r="E138" s="26"/>
      <c r="F138" s="10"/>
      <c r="G138" s="28">
        <f>Source!AO42</f>
        <v>12.05</v>
      </c>
      <c r="H138" s="27" t="str">
        <f>Source!DG42</f>
        <v/>
      </c>
      <c r="I138" s="28">
        <f>ROUND(Source!AF42*Source!I42, 2)</f>
        <v>48.2</v>
      </c>
      <c r="J138" s="27"/>
      <c r="K138" s="27">
        <f>IF(Source!BA42&lt;&gt; 0, Source!BA42, 1)</f>
        <v>33.08</v>
      </c>
      <c r="L138" s="28">
        <f>Source!S42</f>
        <v>1594.46</v>
      </c>
      <c r="M138" s="29"/>
      <c r="R138">
        <f>I138</f>
        <v>48.2</v>
      </c>
    </row>
    <row r="139" spans="1:28" ht="14.25" x14ac:dyDescent="0.2">
      <c r="A139" s="24"/>
      <c r="B139" s="24"/>
      <c r="C139" s="25"/>
      <c r="D139" s="23" t="s">
        <v>207</v>
      </c>
      <c r="E139" s="26"/>
      <c r="F139" s="10"/>
      <c r="G139" s="28">
        <f>Source!AM42</f>
        <v>2.2999999999999998</v>
      </c>
      <c r="H139" s="27" t="str">
        <f>Source!DE42</f>
        <v/>
      </c>
      <c r="I139" s="28">
        <f>ROUND((((Source!ET42)-(Source!EU42))+Source!AE42)*Source!I42, 2)</f>
        <v>9.1999999999999993</v>
      </c>
      <c r="J139" s="27"/>
      <c r="K139" s="27">
        <f>IF(Source!BB42&lt;&gt; 0, Source!BB42, 1)</f>
        <v>11.92</v>
      </c>
      <c r="L139" s="28">
        <f>Source!Q42</f>
        <v>109.66</v>
      </c>
      <c r="M139" s="29"/>
    </row>
    <row r="140" spans="1:28" ht="14.25" x14ac:dyDescent="0.2">
      <c r="A140" s="24"/>
      <c r="B140" s="24"/>
      <c r="C140" s="25"/>
      <c r="D140" s="23" t="s">
        <v>419</v>
      </c>
      <c r="E140" s="26"/>
      <c r="F140" s="10"/>
      <c r="G140" s="28">
        <f>Source!AN42</f>
        <v>0.12</v>
      </c>
      <c r="H140" s="27" t="str">
        <f>Source!DF42</f>
        <v/>
      </c>
      <c r="I140" s="28">
        <f>ROUND(Source!AE42*Source!I42, 2)</f>
        <v>0.48</v>
      </c>
      <c r="J140" s="27"/>
      <c r="K140" s="27">
        <f>IF(Source!BS42&lt;&gt; 0, Source!BS42, 1)</f>
        <v>33.08</v>
      </c>
      <c r="L140" s="28">
        <f>Source!R42</f>
        <v>15.88</v>
      </c>
      <c r="M140" s="29"/>
      <c r="R140">
        <f>I140</f>
        <v>0.48</v>
      </c>
    </row>
    <row r="141" spans="1:28" ht="14.25" x14ac:dyDescent="0.2">
      <c r="A141" s="24"/>
      <c r="B141" s="24"/>
      <c r="C141" s="25"/>
      <c r="D141" s="23" t="s">
        <v>425</v>
      </c>
      <c r="E141" s="26"/>
      <c r="F141" s="10"/>
      <c r="G141" s="28">
        <f>Source!AL42</f>
        <v>5.21</v>
      </c>
      <c r="H141" s="27" t="str">
        <f>Source!DD42</f>
        <v/>
      </c>
      <c r="I141" s="28">
        <f>ROUND(Source!AC42*Source!I42, 2)</f>
        <v>20.84</v>
      </c>
      <c r="J141" s="27"/>
      <c r="K141" s="27">
        <f>IF(Source!BC42&lt;&gt; 0, Source!BC42, 1)</f>
        <v>20.71</v>
      </c>
      <c r="L141" s="28">
        <f>Source!P42</f>
        <v>431.6</v>
      </c>
      <c r="M141" s="29"/>
    </row>
    <row r="142" spans="1:28" ht="14.25" x14ac:dyDescent="0.2">
      <c r="A142" s="24"/>
      <c r="B142" s="24"/>
      <c r="C142" s="25"/>
      <c r="D142" s="23" t="s">
        <v>420</v>
      </c>
      <c r="E142" s="26" t="s">
        <v>421</v>
      </c>
      <c r="F142" s="10">
        <f>Source!BZ42</f>
        <v>97</v>
      </c>
      <c r="G142" s="31"/>
      <c r="H142" s="27"/>
      <c r="I142" s="28">
        <f>SUM(S137:S145)</f>
        <v>47.22</v>
      </c>
      <c r="J142" s="32"/>
      <c r="K142" s="23">
        <f>Source!AT42</f>
        <v>97</v>
      </c>
      <c r="L142" s="28">
        <f>SUM(T137:T145)</f>
        <v>1562.03</v>
      </c>
      <c r="M142" s="29"/>
    </row>
    <row r="143" spans="1:28" ht="14.25" x14ac:dyDescent="0.2">
      <c r="A143" s="24"/>
      <c r="B143" s="24"/>
      <c r="C143" s="25"/>
      <c r="D143" s="23" t="s">
        <v>422</v>
      </c>
      <c r="E143" s="26" t="s">
        <v>421</v>
      </c>
      <c r="F143" s="10">
        <f>Source!CA42</f>
        <v>51</v>
      </c>
      <c r="G143" s="31"/>
      <c r="H143" s="27"/>
      <c r="I143" s="28">
        <f>SUM(U137:U145)</f>
        <v>24.83</v>
      </c>
      <c r="J143" s="32"/>
      <c r="K143" s="23">
        <f>Source!AU42</f>
        <v>51</v>
      </c>
      <c r="L143" s="28">
        <f>SUM(V137:V145)</f>
        <v>821.27</v>
      </c>
      <c r="M143" s="29"/>
    </row>
    <row r="144" spans="1:28" ht="14.25" x14ac:dyDescent="0.2">
      <c r="A144" s="24"/>
      <c r="B144" s="24"/>
      <c r="C144" s="25"/>
      <c r="D144" s="23" t="s">
        <v>423</v>
      </c>
      <c r="E144" s="26" t="s">
        <v>424</v>
      </c>
      <c r="F144" s="10">
        <f>Source!AQ42</f>
        <v>1.34</v>
      </c>
      <c r="G144" s="28"/>
      <c r="H144" s="27" t="str">
        <f>Source!DI42</f>
        <v/>
      </c>
      <c r="I144" s="28"/>
      <c r="J144" s="27"/>
      <c r="K144" s="27"/>
      <c r="L144" s="28"/>
      <c r="M144" s="33">
        <f>Source!U42</f>
        <v>5.36</v>
      </c>
    </row>
    <row r="145" spans="1:28" ht="14.25" x14ac:dyDescent="0.2">
      <c r="A145" s="52">
        <v>20</v>
      </c>
      <c r="B145" s="52" t="str">
        <f>Source!E43</f>
        <v>12,1</v>
      </c>
      <c r="C145" s="52" t="str">
        <f>Source!F43</f>
        <v>101-0069</v>
      </c>
      <c r="D145" s="52" t="str">
        <f>Source!G43</f>
        <v>Бензин авиационный Б-70</v>
      </c>
      <c r="E145" s="53" t="str">
        <f>Source!H43</f>
        <v>т</v>
      </c>
      <c r="F145" s="54">
        <f>Source!I43</f>
        <v>-3.2000000000000002E-3</v>
      </c>
      <c r="G145" s="55">
        <f>Source!AK43</f>
        <v>4488</v>
      </c>
      <c r="H145" s="56" t="s">
        <v>3</v>
      </c>
      <c r="I145" s="55">
        <f>ROUND(Source!AC43*Source!I43, 2)+ROUND((((Source!ET43)-(Source!EU43))+Source!AE43)*Source!I43, 2)+ROUND(Source!AF43*Source!I43, 2)</f>
        <v>-14.36</v>
      </c>
      <c r="J145" s="53"/>
      <c r="K145" s="53">
        <f>IF(Source!BC43&lt;&gt; 0, Source!BC43, 1)</f>
        <v>24.85</v>
      </c>
      <c r="L145" s="55">
        <f>Source!O43</f>
        <v>-356.89</v>
      </c>
      <c r="M145" s="55"/>
      <c r="S145">
        <f>ROUND((Source!FX43/100)*((ROUND(Source!AF43*Source!I43, 2)+ROUND(Source!AE43*Source!I43, 2))), 2)</f>
        <v>0</v>
      </c>
      <c r="T145">
        <f>Source!X43</f>
        <v>0</v>
      </c>
      <c r="U145">
        <f>ROUND((Source!FY43/100)*((ROUND(Source!AF43*Source!I43, 2)+ROUND(Source!AE43*Source!I43, 2))), 2)</f>
        <v>0</v>
      </c>
      <c r="V145">
        <f>Source!Y43</f>
        <v>0</v>
      </c>
      <c r="Y145">
        <f>IF(Source!BI43=3,I145, 0)</f>
        <v>0</v>
      </c>
      <c r="AA145">
        <f>ROUND(Source!AC43*Source!I43, 2)+ROUND((((Source!ET43)-(Source!EU43))+Source!AE43)*Source!I43, 2)+ROUND(Source!AF43*Source!I43, 2)</f>
        <v>-14.36</v>
      </c>
      <c r="AB145">
        <f>Source!O43</f>
        <v>-356.89</v>
      </c>
    </row>
    <row r="146" spans="1:28" ht="15" x14ac:dyDescent="0.25">
      <c r="H146" s="87">
        <f>ROUND(Source!AC42*Source!I42, 2)+ROUND(Source!AF42*Source!I42, 2)+ROUND((((Source!ET42)-(Source!EU42))+Source!AE42)*Source!I42, 2)+SUM(I142:I143)+SUM(AA145:AA145)</f>
        <v>135.93</v>
      </c>
      <c r="I146" s="87"/>
      <c r="K146" s="87">
        <f>Source!O42+SUM(L142:L143)+SUM(AB145:AB145)</f>
        <v>4162.13</v>
      </c>
      <c r="L146" s="87"/>
      <c r="M146" s="35">
        <f>Source!U42</f>
        <v>5.36</v>
      </c>
      <c r="O146" s="34">
        <f>H146</f>
        <v>135.93</v>
      </c>
      <c r="P146" s="34">
        <f>K146</f>
        <v>4162.13</v>
      </c>
      <c r="Q146" s="34">
        <f>M146</f>
        <v>5.36</v>
      </c>
      <c r="W146">
        <f>IF(Source!BI42&lt;=1,H146, 0)</f>
        <v>0</v>
      </c>
      <c r="X146">
        <f>IF(Source!BI42=2,H146, 0)</f>
        <v>135.93</v>
      </c>
      <c r="Y146">
        <f>IF(Source!BI42=3,H146, 0)</f>
        <v>0</v>
      </c>
      <c r="Z146">
        <f>IF(Source!BI42=4,H146, 0)</f>
        <v>0</v>
      </c>
    </row>
    <row r="147" spans="1:28" ht="42.75" x14ac:dyDescent="0.2">
      <c r="A147" s="24">
        <v>21</v>
      </c>
      <c r="B147" s="24" t="str">
        <f>Source!E44</f>
        <v>13</v>
      </c>
      <c r="C147" s="25" t="str">
        <f>Source!F44</f>
        <v>м08-02-144-7</v>
      </c>
      <c r="D147" s="23" t="str">
        <f>Source!G44</f>
        <v>Присоединение к зажимам жил проводов или кабелей сечением до 240 мм2</v>
      </c>
      <c r="E147" s="26" t="str">
        <f>Source!H44</f>
        <v>100 шт.</v>
      </c>
      <c r="F147" s="10">
        <f>Source!I44</f>
        <v>0.32</v>
      </c>
      <c r="G147" s="28">
        <f>IF(Source!AK44&lt;&gt; 0, Source!AK44,Source!AL44 + Source!AM44 + Source!AO44)</f>
        <v>278.77</v>
      </c>
      <c r="H147" s="27"/>
      <c r="I147" s="28"/>
      <c r="J147" s="27" t="str">
        <f>Source!BO44</f>
        <v>м08-02-144-7</v>
      </c>
      <c r="K147" s="27"/>
      <c r="L147" s="28"/>
      <c r="M147" s="29"/>
      <c r="S147">
        <f>ROUND((Source!FX44/100)*((ROUND(Source!AF44*Source!I44, 2)+ROUND(Source!AE44*Source!I44, 2))), 2)</f>
        <v>84.84</v>
      </c>
      <c r="T147">
        <f>Source!X44</f>
        <v>2806.25</v>
      </c>
      <c r="U147">
        <f>ROUND((Source!FY44/100)*((ROUND(Source!AF44*Source!I44, 2)+ROUND(Source!AE44*Source!I44, 2))), 2)</f>
        <v>44.6</v>
      </c>
      <c r="V147">
        <f>Source!Y44</f>
        <v>1475.45</v>
      </c>
    </row>
    <row r="148" spans="1:28" x14ac:dyDescent="0.2">
      <c r="D148" s="30" t="str">
        <f>"Объем: "&amp;Source!I44&amp;"=32/"&amp;"100"</f>
        <v>Объем: 0,32=32/100</v>
      </c>
    </row>
    <row r="149" spans="1:28" ht="14.25" x14ac:dyDescent="0.2">
      <c r="A149" s="24"/>
      <c r="B149" s="24"/>
      <c r="C149" s="25"/>
      <c r="D149" s="23" t="s">
        <v>418</v>
      </c>
      <c r="E149" s="26"/>
      <c r="F149" s="10"/>
      <c r="G149" s="28">
        <f>Source!AO44</f>
        <v>273.3</v>
      </c>
      <c r="H149" s="27" t="str">
        <f>Source!DG44</f>
        <v/>
      </c>
      <c r="I149" s="28">
        <f>ROUND(Source!AF44*Source!I44, 2)</f>
        <v>87.46</v>
      </c>
      <c r="J149" s="27"/>
      <c r="K149" s="27">
        <f>IF(Source!BA44&lt;&gt; 0, Source!BA44, 1)</f>
        <v>33.08</v>
      </c>
      <c r="L149" s="28">
        <f>Source!S44</f>
        <v>2893.04</v>
      </c>
      <c r="M149" s="29"/>
      <c r="R149">
        <f>I149</f>
        <v>87.46</v>
      </c>
    </row>
    <row r="150" spans="1:28" ht="14.25" x14ac:dyDescent="0.2">
      <c r="A150" s="24"/>
      <c r="B150" s="24"/>
      <c r="C150" s="25"/>
      <c r="D150" s="23" t="s">
        <v>425</v>
      </c>
      <c r="E150" s="26"/>
      <c r="F150" s="10"/>
      <c r="G150" s="28">
        <f>Source!AL44</f>
        <v>5.47</v>
      </c>
      <c r="H150" s="27" t="str">
        <f>Source!DD44</f>
        <v/>
      </c>
      <c r="I150" s="28">
        <f>ROUND(Source!AC44*Source!I44, 2)</f>
        <v>1.75</v>
      </c>
      <c r="J150" s="27"/>
      <c r="K150" s="27">
        <f>IF(Source!BC44&lt;&gt; 0, Source!BC44, 1)</f>
        <v>33.049999999999997</v>
      </c>
      <c r="L150" s="28">
        <f>Source!P44</f>
        <v>57.85</v>
      </c>
      <c r="M150" s="29"/>
    </row>
    <row r="151" spans="1:28" ht="14.25" x14ac:dyDescent="0.2">
      <c r="A151" s="24"/>
      <c r="B151" s="24"/>
      <c r="C151" s="25"/>
      <c r="D151" s="23" t="s">
        <v>420</v>
      </c>
      <c r="E151" s="26" t="s">
        <v>421</v>
      </c>
      <c r="F151" s="10">
        <f>Source!BZ44</f>
        <v>97</v>
      </c>
      <c r="G151" s="31"/>
      <c r="H151" s="27"/>
      <c r="I151" s="28">
        <f>SUM(S147:S153)</f>
        <v>84.84</v>
      </c>
      <c r="J151" s="32"/>
      <c r="K151" s="23">
        <f>Source!AT44</f>
        <v>97</v>
      </c>
      <c r="L151" s="28">
        <f>SUM(T147:T153)</f>
        <v>2806.25</v>
      </c>
      <c r="M151" s="29"/>
    </row>
    <row r="152" spans="1:28" ht="14.25" x14ac:dyDescent="0.2">
      <c r="A152" s="24"/>
      <c r="B152" s="24"/>
      <c r="C152" s="25"/>
      <c r="D152" s="23" t="s">
        <v>422</v>
      </c>
      <c r="E152" s="26" t="s">
        <v>421</v>
      </c>
      <c r="F152" s="10">
        <f>Source!CA44</f>
        <v>51</v>
      </c>
      <c r="G152" s="31"/>
      <c r="H152" s="27"/>
      <c r="I152" s="28">
        <f>SUM(U147:U153)</f>
        <v>44.6</v>
      </c>
      <c r="J152" s="32"/>
      <c r="K152" s="23">
        <f>Source!AU44</f>
        <v>51</v>
      </c>
      <c r="L152" s="28">
        <f>SUM(V147:V153)</f>
        <v>1475.45</v>
      </c>
      <c r="M152" s="29"/>
    </row>
    <row r="153" spans="1:28" ht="14.25" x14ac:dyDescent="0.2">
      <c r="A153" s="36"/>
      <c r="B153" s="36"/>
      <c r="C153" s="37"/>
      <c r="D153" s="38" t="s">
        <v>423</v>
      </c>
      <c r="E153" s="39" t="s">
        <v>424</v>
      </c>
      <c r="F153" s="40">
        <f>Source!AQ44</f>
        <v>30.4</v>
      </c>
      <c r="G153" s="41"/>
      <c r="H153" s="42" t="str">
        <f>Source!DI44</f>
        <v/>
      </c>
      <c r="I153" s="41"/>
      <c r="J153" s="42"/>
      <c r="K153" s="42"/>
      <c r="L153" s="41"/>
      <c r="M153" s="43">
        <f>Source!U44</f>
        <v>9.7279999999999998</v>
      </c>
    </row>
    <row r="154" spans="1:28" ht="15" x14ac:dyDescent="0.25">
      <c r="H154" s="87">
        <f>ROUND(Source!AC44*Source!I44, 2)+ROUND(Source!AF44*Source!I44, 2)+ROUND((((Source!ET44)-(Source!EU44))+Source!AE44)*Source!I44, 2)+SUM(I151:I152)</f>
        <v>218.64999999999998</v>
      </c>
      <c r="I154" s="87"/>
      <c r="K154" s="87">
        <f>Source!O44+SUM(L151:L152)</f>
        <v>7232.59</v>
      </c>
      <c r="L154" s="87"/>
      <c r="M154" s="35">
        <f>Source!U44</f>
        <v>9.7279999999999998</v>
      </c>
      <c r="O154" s="34">
        <f>H154</f>
        <v>218.64999999999998</v>
      </c>
      <c r="P154" s="34">
        <f>K154</f>
        <v>7232.59</v>
      </c>
      <c r="Q154" s="34">
        <f>M154</f>
        <v>9.7279999999999998</v>
      </c>
      <c r="W154">
        <f>IF(Source!BI44&lt;=1,H154, 0)</f>
        <v>0</v>
      </c>
      <c r="X154">
        <f>IF(Source!BI44=2,H154, 0)</f>
        <v>218.64999999999998</v>
      </c>
      <c r="Y154">
        <f>IF(Source!BI44=3,H154, 0)</f>
        <v>0</v>
      </c>
      <c r="Z154">
        <f>IF(Source!BI44=4,H154, 0)</f>
        <v>0</v>
      </c>
    </row>
    <row r="155" spans="1:28" ht="28.5" x14ac:dyDescent="0.2">
      <c r="A155" s="24">
        <v>22</v>
      </c>
      <c r="B155" s="24" t="str">
        <f>Source!E45</f>
        <v>14</v>
      </c>
      <c r="C155" s="25" t="str">
        <f>Source!F45</f>
        <v>26-02-022-1</v>
      </c>
      <c r="D155" s="23" t="str">
        <f>Source!G45</f>
        <v>Огнезащитное покрытие кабелей составом «КЛ-1»</v>
      </c>
      <c r="E155" s="26" t="str">
        <f>Source!H45</f>
        <v>100 м2</v>
      </c>
      <c r="F155" s="10">
        <f>Source!I45</f>
        <v>0.1</v>
      </c>
      <c r="G155" s="28">
        <f>IF(Source!AK45&lt;&gt; 0, Source!AK45,Source!AL45 + Source!AM45 + Source!AO45)</f>
        <v>11967.82</v>
      </c>
      <c r="H155" s="27"/>
      <c r="I155" s="28"/>
      <c r="J155" s="27" t="str">
        <f>Source!BO45</f>
        <v>26-02-022-1</v>
      </c>
      <c r="K155" s="27"/>
      <c r="L155" s="28"/>
      <c r="M155" s="29"/>
      <c r="S155">
        <f>ROUND((Source!FX45/100)*((ROUND(Source!AF45*Source!I45, 2)+ROUND(Source!AE45*Source!I45, 2))), 2)</f>
        <v>51.33</v>
      </c>
      <c r="T155">
        <f>Source!X45</f>
        <v>1698.21</v>
      </c>
      <c r="U155">
        <f>ROUND((Source!FY45/100)*((ROUND(Source!AF45*Source!I45, 2)+ROUND(Source!AE45*Source!I45, 2))), 2)</f>
        <v>29.11</v>
      </c>
      <c r="V155">
        <f>Source!Y45</f>
        <v>962.9</v>
      </c>
    </row>
    <row r="156" spans="1:28" x14ac:dyDescent="0.2">
      <c r="D156" s="30" t="str">
        <f>"Объем: "&amp;Source!I45&amp;"=10/"&amp;"100"</f>
        <v>Объем: 0,1=10/100</v>
      </c>
    </row>
    <row r="157" spans="1:28" ht="14.25" x14ac:dyDescent="0.2">
      <c r="A157" s="24"/>
      <c r="B157" s="24"/>
      <c r="C157" s="25"/>
      <c r="D157" s="23" t="s">
        <v>418</v>
      </c>
      <c r="E157" s="26"/>
      <c r="F157" s="10"/>
      <c r="G157" s="28">
        <f>Source!AO45</f>
        <v>529.24</v>
      </c>
      <c r="H157" s="27" t="str">
        <f>Source!DG45</f>
        <v/>
      </c>
      <c r="I157" s="28">
        <f>ROUND(Source!AF45*Source!I45, 2)</f>
        <v>52.92</v>
      </c>
      <c r="J157" s="27"/>
      <c r="K157" s="27">
        <f>IF(Source!BA45&lt;&gt; 0, Source!BA45, 1)</f>
        <v>33.08</v>
      </c>
      <c r="L157" s="28">
        <f>Source!S45</f>
        <v>1750.73</v>
      </c>
      <c r="M157" s="29"/>
      <c r="R157">
        <f>I157</f>
        <v>52.92</v>
      </c>
    </row>
    <row r="158" spans="1:28" ht="14.25" x14ac:dyDescent="0.2">
      <c r="A158" s="24"/>
      <c r="B158" s="24"/>
      <c r="C158" s="25"/>
      <c r="D158" s="23" t="s">
        <v>207</v>
      </c>
      <c r="E158" s="26"/>
      <c r="F158" s="10"/>
      <c r="G158" s="28">
        <f>Source!AM45</f>
        <v>213.36</v>
      </c>
      <c r="H158" s="27" t="str">
        <f>Source!DE45</f>
        <v/>
      </c>
      <c r="I158" s="28">
        <f>ROUND((((Source!ET45)-(Source!EU45))+Source!AE45)*Source!I45, 2)</f>
        <v>21.34</v>
      </c>
      <c r="J158" s="27"/>
      <c r="K158" s="27">
        <f>IF(Source!BB45&lt;&gt; 0, Source!BB45, 1)</f>
        <v>6.75</v>
      </c>
      <c r="L158" s="28">
        <f>Source!Q45</f>
        <v>144.02000000000001</v>
      </c>
      <c r="M158" s="29"/>
    </row>
    <row r="159" spans="1:28" ht="14.25" x14ac:dyDescent="0.2">
      <c r="A159" s="24"/>
      <c r="B159" s="24"/>
      <c r="C159" s="25"/>
      <c r="D159" s="23" t="s">
        <v>425</v>
      </c>
      <c r="E159" s="26"/>
      <c r="F159" s="10"/>
      <c r="G159" s="28">
        <f>Source!AL45</f>
        <v>11225.22</v>
      </c>
      <c r="H159" s="27" t="str">
        <f>Source!DD45</f>
        <v/>
      </c>
      <c r="I159" s="28">
        <f>ROUND(Source!AC45*Source!I45, 2)</f>
        <v>1122.52</v>
      </c>
      <c r="J159" s="27"/>
      <c r="K159" s="27">
        <f>IF(Source!BC45&lt;&gt; 0, Source!BC45, 1)</f>
        <v>7.51</v>
      </c>
      <c r="L159" s="28">
        <f>Source!P45</f>
        <v>8430.14</v>
      </c>
      <c r="M159" s="29"/>
    </row>
    <row r="160" spans="1:28" ht="14.25" x14ac:dyDescent="0.2">
      <c r="A160" s="24"/>
      <c r="B160" s="24"/>
      <c r="C160" s="25"/>
      <c r="D160" s="23" t="s">
        <v>420</v>
      </c>
      <c r="E160" s="26" t="s">
        <v>421</v>
      </c>
      <c r="F160" s="10">
        <f>Source!BZ45</f>
        <v>97</v>
      </c>
      <c r="G160" s="31"/>
      <c r="H160" s="27"/>
      <c r="I160" s="28">
        <f>SUM(S155:S162)</f>
        <v>51.33</v>
      </c>
      <c r="J160" s="32"/>
      <c r="K160" s="23">
        <f>Source!AT45</f>
        <v>97</v>
      </c>
      <c r="L160" s="28">
        <f>SUM(T155:T162)</f>
        <v>1698.21</v>
      </c>
      <c r="M160" s="29"/>
    </row>
    <row r="161" spans="1:26" ht="14.25" x14ac:dyDescent="0.2">
      <c r="A161" s="24"/>
      <c r="B161" s="24"/>
      <c r="C161" s="25"/>
      <c r="D161" s="23" t="s">
        <v>422</v>
      </c>
      <c r="E161" s="26" t="s">
        <v>421</v>
      </c>
      <c r="F161" s="10">
        <f>Source!CA45</f>
        <v>55</v>
      </c>
      <c r="G161" s="31"/>
      <c r="H161" s="27"/>
      <c r="I161" s="28">
        <f>SUM(U155:U162)</f>
        <v>29.11</v>
      </c>
      <c r="J161" s="32"/>
      <c r="K161" s="23">
        <f>Source!AU45</f>
        <v>55</v>
      </c>
      <c r="L161" s="28">
        <f>SUM(V155:V162)</f>
        <v>962.9</v>
      </c>
      <c r="M161" s="29"/>
    </row>
    <row r="162" spans="1:26" ht="14.25" x14ac:dyDescent="0.2">
      <c r="A162" s="36"/>
      <c r="B162" s="36"/>
      <c r="C162" s="37"/>
      <c r="D162" s="38" t="s">
        <v>423</v>
      </c>
      <c r="E162" s="39" t="s">
        <v>424</v>
      </c>
      <c r="F162" s="40">
        <f>Source!AQ45</f>
        <v>62.41</v>
      </c>
      <c r="G162" s="41"/>
      <c r="H162" s="42" t="str">
        <f>Source!DI45</f>
        <v/>
      </c>
      <c r="I162" s="41"/>
      <c r="J162" s="42"/>
      <c r="K162" s="42"/>
      <c r="L162" s="41"/>
      <c r="M162" s="43">
        <f>Source!U45</f>
        <v>6.2409999999999997</v>
      </c>
    </row>
    <row r="163" spans="1:26" ht="15" x14ac:dyDescent="0.25">
      <c r="H163" s="87">
        <f>ROUND(Source!AC45*Source!I45, 2)+ROUND(Source!AF45*Source!I45, 2)+ROUND((((Source!ET45)-(Source!EU45))+Source!AE45)*Source!I45, 2)+SUM(I160:I161)</f>
        <v>1277.22</v>
      </c>
      <c r="I163" s="87"/>
      <c r="K163" s="87">
        <f>Source!O45+SUM(L160:L161)</f>
        <v>12986</v>
      </c>
      <c r="L163" s="87"/>
      <c r="M163" s="35">
        <f>Source!U45</f>
        <v>6.2409999999999997</v>
      </c>
      <c r="O163" s="34">
        <f>H163</f>
        <v>1277.22</v>
      </c>
      <c r="P163" s="34">
        <f>K163</f>
        <v>12986</v>
      </c>
      <c r="Q163" s="34">
        <f>M163</f>
        <v>6.2409999999999997</v>
      </c>
      <c r="W163">
        <f>IF(Source!BI45&lt;=1,H163, 0)</f>
        <v>1277.22</v>
      </c>
      <c r="X163">
        <f>IF(Source!BI45=2,H163, 0)</f>
        <v>0</v>
      </c>
      <c r="Y163">
        <f>IF(Source!BI45=3,H163, 0)</f>
        <v>0</v>
      </c>
      <c r="Z163">
        <f>IF(Source!BI45=4,H163, 0)</f>
        <v>0</v>
      </c>
    </row>
    <row r="164" spans="1:26" ht="42.75" x14ac:dyDescent="0.2">
      <c r="A164" s="24">
        <v>23</v>
      </c>
      <c r="B164" s="24" t="str">
        <f>Source!E46</f>
        <v>15</v>
      </c>
      <c r="C164" s="25" t="str">
        <f>Source!F46</f>
        <v>п01-12-027-1</v>
      </c>
      <c r="D164" s="23" t="str">
        <f>Source!G46</f>
        <v>Испытание кабеля силового длиной до 500 м напряжением до 10 кВ</v>
      </c>
      <c r="E164" s="26" t="str">
        <f>Source!H46</f>
        <v>1 испытание</v>
      </c>
      <c r="F164" s="10">
        <f>Source!I46</f>
        <v>2</v>
      </c>
      <c r="G164" s="28">
        <f>IF(Source!AK46&lt;&gt; 0, Source!AK46,Source!AL46 + Source!AM46 + Source!AO46)</f>
        <v>52.07</v>
      </c>
      <c r="H164" s="27"/>
      <c r="I164" s="28"/>
      <c r="J164" s="27" t="str">
        <f>Source!BO46</f>
        <v/>
      </c>
      <c r="K164" s="27"/>
      <c r="L164" s="28"/>
      <c r="M164" s="29"/>
      <c r="S164">
        <f>ROUND((Source!FX46/100)*((ROUND(Source!AF46*Source!I46, 2)+ROUND(Source!AE46*Source!I46, 2))), 2)</f>
        <v>77.06</v>
      </c>
      <c r="T164">
        <f>Source!X46</f>
        <v>2549.2600000000002</v>
      </c>
      <c r="U164">
        <f>ROUND((Source!FY46/100)*((ROUND(Source!AF46*Source!I46, 2)+ROUND(Source!AE46*Source!I46, 2))), 2)</f>
        <v>37.49</v>
      </c>
      <c r="V164">
        <f>Source!Y46</f>
        <v>1240.18</v>
      </c>
    </row>
    <row r="165" spans="1:26" ht="14.25" x14ac:dyDescent="0.2">
      <c r="A165" s="24"/>
      <c r="B165" s="24"/>
      <c r="C165" s="25"/>
      <c r="D165" s="23" t="s">
        <v>418</v>
      </c>
      <c r="E165" s="26"/>
      <c r="F165" s="10"/>
      <c r="G165" s="28">
        <f>Source!AO46</f>
        <v>52.07</v>
      </c>
      <c r="H165" s="27" t="str">
        <f>Source!DG46</f>
        <v/>
      </c>
      <c r="I165" s="28">
        <f>ROUND(Source!AF46*Source!I46, 2)</f>
        <v>104.14</v>
      </c>
      <c r="J165" s="27"/>
      <c r="K165" s="27">
        <f>IF(Source!BA46&lt;&gt; 0, Source!BA46, 1)</f>
        <v>33.08</v>
      </c>
      <c r="L165" s="28">
        <f>Source!S46</f>
        <v>3444.95</v>
      </c>
      <c r="M165" s="29"/>
      <c r="R165">
        <f>I165</f>
        <v>104.14</v>
      </c>
    </row>
    <row r="166" spans="1:26" ht="14.25" x14ac:dyDescent="0.2">
      <c r="A166" s="24"/>
      <c r="B166" s="24"/>
      <c r="C166" s="25"/>
      <c r="D166" s="23" t="s">
        <v>420</v>
      </c>
      <c r="E166" s="26" t="s">
        <v>421</v>
      </c>
      <c r="F166" s="10">
        <f>Source!BZ46</f>
        <v>74</v>
      </c>
      <c r="G166" s="31"/>
      <c r="H166" s="27"/>
      <c r="I166" s="28">
        <f>SUM(S164:S168)</f>
        <v>77.06</v>
      </c>
      <c r="J166" s="32"/>
      <c r="K166" s="23">
        <f>Source!AT46</f>
        <v>74</v>
      </c>
      <c r="L166" s="28">
        <f>SUM(T164:T168)</f>
        <v>2549.2600000000002</v>
      </c>
      <c r="M166" s="29"/>
    </row>
    <row r="167" spans="1:26" ht="14.25" x14ac:dyDescent="0.2">
      <c r="A167" s="24"/>
      <c r="B167" s="24"/>
      <c r="C167" s="25"/>
      <c r="D167" s="23" t="s">
        <v>422</v>
      </c>
      <c r="E167" s="26" t="s">
        <v>421</v>
      </c>
      <c r="F167" s="10">
        <f>Source!CA46</f>
        <v>36</v>
      </c>
      <c r="G167" s="31"/>
      <c r="H167" s="27"/>
      <c r="I167" s="28">
        <f>SUM(U164:U168)</f>
        <v>37.49</v>
      </c>
      <c r="J167" s="32"/>
      <c r="K167" s="23">
        <f>Source!AU46</f>
        <v>36</v>
      </c>
      <c r="L167" s="28">
        <f>SUM(V164:V168)</f>
        <v>1240.18</v>
      </c>
      <c r="M167" s="29"/>
    </row>
    <row r="168" spans="1:26" ht="14.25" x14ac:dyDescent="0.2">
      <c r="A168" s="36"/>
      <c r="B168" s="36"/>
      <c r="C168" s="37"/>
      <c r="D168" s="38" t="s">
        <v>423</v>
      </c>
      <c r="E168" s="39" t="s">
        <v>424</v>
      </c>
      <c r="F168" s="40">
        <f>Source!AQ46</f>
        <v>4.8600000000000003</v>
      </c>
      <c r="G168" s="41"/>
      <c r="H168" s="42" t="str">
        <f>Source!DI46</f>
        <v/>
      </c>
      <c r="I168" s="41"/>
      <c r="J168" s="42"/>
      <c r="K168" s="42"/>
      <c r="L168" s="41"/>
      <c r="M168" s="43">
        <f>Source!U46</f>
        <v>9.7200000000000006</v>
      </c>
    </row>
    <row r="169" spans="1:26" ht="15" x14ac:dyDescent="0.25">
      <c r="H169" s="87">
        <f>ROUND(Source!AC46*Source!I46, 2)+ROUND(Source!AF46*Source!I46, 2)+ROUND((((Source!ET46)-(Source!EU46))+Source!AE46)*Source!I46, 2)+SUM(I166:I167)</f>
        <v>218.69</v>
      </c>
      <c r="I169" s="87"/>
      <c r="K169" s="87">
        <f>Source!O46+SUM(L166:L167)</f>
        <v>7234.39</v>
      </c>
      <c r="L169" s="87"/>
      <c r="M169" s="35">
        <f>Source!U46</f>
        <v>9.7200000000000006</v>
      </c>
      <c r="O169" s="34">
        <f>H169</f>
        <v>218.69</v>
      </c>
      <c r="P169" s="34">
        <f>K169</f>
        <v>7234.39</v>
      </c>
      <c r="Q169" s="34">
        <f>M169</f>
        <v>9.7200000000000006</v>
      </c>
      <c r="W169">
        <f>IF(Source!BI46&lt;=1,H169, 0)</f>
        <v>0</v>
      </c>
      <c r="X169">
        <f>IF(Source!BI46=2,H169, 0)</f>
        <v>0</v>
      </c>
      <c r="Y169">
        <f>IF(Source!BI46=3,H169, 0)</f>
        <v>0</v>
      </c>
      <c r="Z169">
        <f>IF(Source!BI46=4,H169, 0)</f>
        <v>218.69</v>
      </c>
    </row>
    <row r="170" spans="1:26" ht="27" x14ac:dyDescent="0.2">
      <c r="A170" s="24">
        <v>24</v>
      </c>
      <c r="B170" s="24" t="str">
        <f>Source!E47</f>
        <v>16</v>
      </c>
      <c r="C170" s="25" t="str">
        <f>Source!F47</f>
        <v>ЕКС</v>
      </c>
      <c r="D170" s="23" t="s">
        <v>426</v>
      </c>
      <c r="E170" s="26" t="str">
        <f>Source!H47</f>
        <v>м</v>
      </c>
      <c r="F170" s="10">
        <f>Source!I47</f>
        <v>376</v>
      </c>
      <c r="G170" s="28">
        <f>IF(Source!AK47&lt;&gt; 0, Source!AK47,Source!AL47 + Source!AM47 + Source!AO47)</f>
        <v>1241.49</v>
      </c>
      <c r="H170" s="27"/>
      <c r="I170" s="28"/>
      <c r="J170" s="27" t="str">
        <f>Source!BO47</f>
        <v/>
      </c>
      <c r="K170" s="27"/>
      <c r="L170" s="28"/>
      <c r="M170" s="29"/>
      <c r="S170">
        <f>ROUND((Source!FX47/100)*((ROUND(Source!AF47*Source!I47, 2)+ROUND(Source!AE47*Source!I47, 2))), 2)</f>
        <v>0</v>
      </c>
      <c r="T170">
        <f>Source!X47</f>
        <v>0</v>
      </c>
      <c r="U170">
        <f>ROUND((Source!FY47/100)*((ROUND(Source!AF47*Source!I47, 2)+ROUND(Source!AE47*Source!I47, 2))), 2)</f>
        <v>0</v>
      </c>
      <c r="V170">
        <f>Source!Y47</f>
        <v>0</v>
      </c>
    </row>
    <row r="171" spans="1:26" ht="14.25" x14ac:dyDescent="0.2">
      <c r="A171" s="36"/>
      <c r="B171" s="36"/>
      <c r="C171" s="37"/>
      <c r="D171" s="38" t="s">
        <v>425</v>
      </c>
      <c r="E171" s="39"/>
      <c r="F171" s="40"/>
      <c r="G171" s="41">
        <f>Source!AL47</f>
        <v>1241.49</v>
      </c>
      <c r="H171" s="42" t="str">
        <f>Source!DD47</f>
        <v/>
      </c>
      <c r="I171" s="41">
        <f>ROUND(Source!AC47*Source!I47, 2)</f>
        <v>466800.24</v>
      </c>
      <c r="J171" s="42"/>
      <c r="K171" s="42">
        <f>IF(Source!BC47&lt;&gt; 0, Source!BC47, 1)</f>
        <v>1</v>
      </c>
      <c r="L171" s="41">
        <f>Source!P47</f>
        <v>466800.24</v>
      </c>
      <c r="M171" s="46"/>
    </row>
    <row r="172" spans="1:26" ht="15" x14ac:dyDescent="0.25">
      <c r="H172" s="87">
        <f>ROUND(Source!AC47*Source!I47, 2)+ROUND(Source!AF47*Source!I47, 2)+ROUND((((Source!ET47)-(Source!EU47))+Source!AE47)*Source!I47, 2)</f>
        <v>466800.24</v>
      </c>
      <c r="I172" s="87"/>
      <c r="K172" s="87">
        <f>Source!O47</f>
        <v>466800.24</v>
      </c>
      <c r="L172" s="87"/>
      <c r="M172" s="35">
        <f>Source!U47</f>
        <v>0</v>
      </c>
      <c r="O172" s="34">
        <f>H172</f>
        <v>466800.24</v>
      </c>
      <c r="P172" s="34">
        <f>K172</f>
        <v>466800.24</v>
      </c>
      <c r="Q172" s="34">
        <f>M172</f>
        <v>0</v>
      </c>
      <c r="W172">
        <f>IF(Source!BI47&lt;=1,H172, 0)</f>
        <v>466800.24</v>
      </c>
      <c r="X172">
        <f>IF(Source!BI47=2,H172, 0)</f>
        <v>0</v>
      </c>
      <c r="Y172">
        <f>IF(Source!BI47=3,H172, 0)</f>
        <v>0</v>
      </c>
      <c r="Z172">
        <f>IF(Source!BI47=4,H172, 0)</f>
        <v>0</v>
      </c>
    </row>
    <row r="173" spans="1:26" ht="28.5" x14ac:dyDescent="0.2">
      <c r="A173" s="24">
        <v>25</v>
      </c>
      <c r="B173" s="24" t="str">
        <f>Source!E48</f>
        <v>17</v>
      </c>
      <c r="C173" s="25" t="str">
        <f>Source!F48</f>
        <v>СТАНДАРТ</v>
      </c>
      <c r="D173" s="23" t="s">
        <v>427</v>
      </c>
      <c r="E173" s="26" t="str">
        <f>Source!H48</f>
        <v>ШТ</v>
      </c>
      <c r="F173" s="10">
        <f>Source!I48</f>
        <v>8</v>
      </c>
      <c r="G173" s="28">
        <f>IF(Source!AK48&lt;&gt; 0, Source!AK48,Source!AL48 + Source!AM48 + Source!AO48)</f>
        <v>2424.29</v>
      </c>
      <c r="H173" s="27"/>
      <c r="I173" s="28"/>
      <c r="J173" s="27" t="str">
        <f>Source!BO48</f>
        <v/>
      </c>
      <c r="K173" s="27"/>
      <c r="L173" s="28"/>
      <c r="M173" s="29"/>
      <c r="S173">
        <f>ROUND((Source!FX48/100)*((ROUND(Source!AF48*Source!I48, 2)+ROUND(Source!AE48*Source!I48, 2))), 2)</f>
        <v>0</v>
      </c>
      <c r="T173">
        <f>Source!X48</f>
        <v>0</v>
      </c>
      <c r="U173">
        <f>ROUND((Source!FY48/100)*((ROUND(Source!AF48*Source!I48, 2)+ROUND(Source!AE48*Source!I48, 2))), 2)</f>
        <v>0</v>
      </c>
      <c r="V173">
        <f>Source!Y48</f>
        <v>0</v>
      </c>
    </row>
    <row r="174" spans="1:26" ht="14.25" x14ac:dyDescent="0.2">
      <c r="A174" s="36"/>
      <c r="B174" s="36"/>
      <c r="C174" s="37"/>
      <c r="D174" s="38" t="s">
        <v>425</v>
      </c>
      <c r="E174" s="39"/>
      <c r="F174" s="40"/>
      <c r="G174" s="41">
        <f>Source!AL48</f>
        <v>2424.29</v>
      </c>
      <c r="H174" s="42" t="str">
        <f>Source!DD48</f>
        <v/>
      </c>
      <c r="I174" s="41">
        <f>ROUND(Source!AC48*Source!I48, 2)</f>
        <v>19394.32</v>
      </c>
      <c r="J174" s="42"/>
      <c r="K174" s="42">
        <f>IF(Source!BC48&lt;&gt; 0, Source!BC48, 1)</f>
        <v>1</v>
      </c>
      <c r="L174" s="41">
        <f>Source!P48</f>
        <v>19394.32</v>
      </c>
      <c r="M174" s="46"/>
    </row>
    <row r="175" spans="1:26" ht="15" x14ac:dyDescent="0.25">
      <c r="H175" s="87">
        <f>ROUND(Source!AC48*Source!I48, 2)+ROUND(Source!AF48*Source!I48, 2)+ROUND((((Source!ET48)-(Source!EU48))+Source!AE48)*Source!I48, 2)</f>
        <v>19394.32</v>
      </c>
      <c r="I175" s="87"/>
      <c r="K175" s="87">
        <f>Source!O48</f>
        <v>19394.32</v>
      </c>
      <c r="L175" s="87"/>
      <c r="M175" s="35">
        <f>Source!U48</f>
        <v>0</v>
      </c>
      <c r="O175" s="34">
        <f>H175</f>
        <v>19394.32</v>
      </c>
      <c r="P175" s="34">
        <f>K175</f>
        <v>19394.32</v>
      </c>
      <c r="Q175" s="34">
        <f>M175</f>
        <v>0</v>
      </c>
      <c r="W175">
        <f>IF(Source!BI48&lt;=1,H175, 0)</f>
        <v>19394.32</v>
      </c>
      <c r="X175">
        <f>IF(Source!BI48=2,H175, 0)</f>
        <v>0</v>
      </c>
      <c r="Y175">
        <f>IF(Source!BI48=3,H175, 0)</f>
        <v>0</v>
      </c>
      <c r="Z175">
        <f>IF(Source!BI48=4,H175, 0)</f>
        <v>0</v>
      </c>
    </row>
    <row r="176" spans="1:26" ht="41.25" x14ac:dyDescent="0.2">
      <c r="A176" s="24">
        <v>26</v>
      </c>
      <c r="B176" s="24" t="str">
        <f>Source!E49</f>
        <v>18</v>
      </c>
      <c r="C176" s="25" t="str">
        <f>Source!F49</f>
        <v>ЕКС</v>
      </c>
      <c r="D176" s="23" t="s">
        <v>428</v>
      </c>
      <c r="E176" s="26" t="str">
        <f>Source!H49</f>
        <v>ШТ</v>
      </c>
      <c r="F176" s="10">
        <f>Source!I49</f>
        <v>8</v>
      </c>
      <c r="G176" s="28">
        <f>IF(Source!AK49&lt;&gt; 0, Source!AK49,Source!AL49 + Source!AM49 + Source!AO49)</f>
        <v>400.84</v>
      </c>
      <c r="H176" s="27"/>
      <c r="I176" s="28"/>
      <c r="J176" s="27" t="str">
        <f>Source!BO49</f>
        <v/>
      </c>
      <c r="K176" s="27"/>
      <c r="L176" s="28"/>
      <c r="M176" s="29"/>
      <c r="S176">
        <f>ROUND((Source!FX49/100)*((ROUND(Source!AF49*Source!I49, 2)+ROUND(Source!AE49*Source!I49, 2))), 2)</f>
        <v>0</v>
      </c>
      <c r="T176">
        <f>Source!X49</f>
        <v>0</v>
      </c>
      <c r="U176">
        <f>ROUND((Source!FY49/100)*((ROUND(Source!AF49*Source!I49, 2)+ROUND(Source!AE49*Source!I49, 2))), 2)</f>
        <v>0</v>
      </c>
      <c r="V176">
        <f>Source!Y49</f>
        <v>0</v>
      </c>
    </row>
    <row r="177" spans="1:26" ht="14.25" x14ac:dyDescent="0.2">
      <c r="A177" s="36"/>
      <c r="B177" s="36"/>
      <c r="C177" s="37"/>
      <c r="D177" s="38" t="s">
        <v>425</v>
      </c>
      <c r="E177" s="39"/>
      <c r="F177" s="40"/>
      <c r="G177" s="41">
        <f>Source!AL49</f>
        <v>400.84</v>
      </c>
      <c r="H177" s="42" t="str">
        <f>Source!DD49</f>
        <v/>
      </c>
      <c r="I177" s="41">
        <f>ROUND(Source!AC49*Source!I49, 2)</f>
        <v>3206.72</v>
      </c>
      <c r="J177" s="42"/>
      <c r="K177" s="42">
        <f>IF(Source!BC49&lt;&gt; 0, Source!BC49, 1)</f>
        <v>1</v>
      </c>
      <c r="L177" s="41">
        <f>Source!P49</f>
        <v>3206.72</v>
      </c>
      <c r="M177" s="46"/>
    </row>
    <row r="178" spans="1:26" ht="15" x14ac:dyDescent="0.25">
      <c r="H178" s="87">
        <f>ROUND(Source!AC49*Source!I49, 2)+ROUND(Source!AF49*Source!I49, 2)+ROUND((((Source!ET49)-(Source!EU49))+Source!AE49)*Source!I49, 2)</f>
        <v>3206.72</v>
      </c>
      <c r="I178" s="87"/>
      <c r="K178" s="87">
        <f>Source!O49</f>
        <v>3206.72</v>
      </c>
      <c r="L178" s="87"/>
      <c r="M178" s="35">
        <f>Source!U49</f>
        <v>0</v>
      </c>
      <c r="O178" s="34">
        <f>H178</f>
        <v>3206.72</v>
      </c>
      <c r="P178" s="34">
        <f>K178</f>
        <v>3206.72</v>
      </c>
      <c r="Q178" s="34">
        <f>M178</f>
        <v>0</v>
      </c>
      <c r="W178">
        <f>IF(Source!BI49&lt;=1,H178, 0)</f>
        <v>3206.72</v>
      </c>
      <c r="X178">
        <f>IF(Source!BI49=2,H178, 0)</f>
        <v>0</v>
      </c>
      <c r="Y178">
        <f>IF(Source!BI49=3,H178, 0)</f>
        <v>0</v>
      </c>
      <c r="Z178">
        <f>IF(Source!BI49=4,H178, 0)</f>
        <v>0</v>
      </c>
    </row>
    <row r="179" spans="1:26" ht="14.25" x14ac:dyDescent="0.2">
      <c r="A179" s="24">
        <v>27</v>
      </c>
      <c r="B179" s="24" t="str">
        <f>Source!E50</f>
        <v>19</v>
      </c>
      <c r="C179" s="25" t="str">
        <f>Source!F50</f>
        <v>Прайс</v>
      </c>
      <c r="D179" s="23" t="str">
        <f>Source!G50</f>
        <v>Песок речной</v>
      </c>
      <c r="E179" s="26" t="str">
        <f>Source!H50</f>
        <v>ТН</v>
      </c>
      <c r="F179" s="10">
        <f>Source!I50</f>
        <v>12</v>
      </c>
      <c r="G179" s="28">
        <f>IF(Source!AK50&lt;&gt; 0, Source!AK50,Source!AL50 + Source!AM50 + Source!AO50)</f>
        <v>680</v>
      </c>
      <c r="H179" s="27"/>
      <c r="I179" s="28"/>
      <c r="J179" s="27" t="str">
        <f>Source!BO50</f>
        <v/>
      </c>
      <c r="K179" s="27"/>
      <c r="L179" s="28"/>
      <c r="M179" s="29"/>
      <c r="S179">
        <f>ROUND((Source!FX50/100)*((ROUND(Source!AF50*Source!I50, 2)+ROUND(Source!AE50*Source!I50, 2))), 2)</f>
        <v>0</v>
      </c>
      <c r="T179">
        <f>Source!X50</f>
        <v>0</v>
      </c>
      <c r="U179">
        <f>ROUND((Source!FY50/100)*((ROUND(Source!AF50*Source!I50, 2)+ROUND(Source!AE50*Source!I50, 2))), 2)</f>
        <v>0</v>
      </c>
      <c r="V179">
        <f>Source!Y50</f>
        <v>0</v>
      </c>
    </row>
    <row r="180" spans="1:26" ht="14.25" x14ac:dyDescent="0.2">
      <c r="A180" s="36"/>
      <c r="B180" s="36"/>
      <c r="C180" s="37"/>
      <c r="D180" s="38" t="s">
        <v>425</v>
      </c>
      <c r="E180" s="39"/>
      <c r="F180" s="40"/>
      <c r="G180" s="41">
        <f>Source!AL50</f>
        <v>680</v>
      </c>
      <c r="H180" s="42" t="str">
        <f>Source!DD50</f>
        <v/>
      </c>
      <c r="I180" s="41">
        <f>ROUND(Source!AC50*Source!I50, 2)</f>
        <v>8160</v>
      </c>
      <c r="J180" s="42"/>
      <c r="K180" s="42">
        <f>IF(Source!BC50&lt;&gt; 0, Source!BC50, 1)</f>
        <v>1</v>
      </c>
      <c r="L180" s="41">
        <f>Source!P50</f>
        <v>8160</v>
      </c>
      <c r="M180" s="46"/>
    </row>
    <row r="181" spans="1:26" ht="15" x14ac:dyDescent="0.25">
      <c r="H181" s="87">
        <f>ROUND(Source!AC50*Source!I50, 2)+ROUND(Source!AF50*Source!I50, 2)+ROUND((((Source!ET50)-(Source!EU50))+Source!AE50)*Source!I50, 2)</f>
        <v>8160</v>
      </c>
      <c r="I181" s="87"/>
      <c r="K181" s="87">
        <f>Source!O50</f>
        <v>8160</v>
      </c>
      <c r="L181" s="87"/>
      <c r="M181" s="35">
        <f>Source!U50</f>
        <v>0</v>
      </c>
      <c r="O181" s="34">
        <f>H181</f>
        <v>8160</v>
      </c>
      <c r="P181" s="34">
        <f>K181</f>
        <v>8160</v>
      </c>
      <c r="Q181" s="34">
        <f>M181</f>
        <v>0</v>
      </c>
      <c r="W181">
        <f>IF(Source!BI50&lt;=1,H181, 0)</f>
        <v>8160</v>
      </c>
      <c r="X181">
        <f>IF(Source!BI50=2,H181, 0)</f>
        <v>0</v>
      </c>
      <c r="Y181">
        <f>IF(Source!BI50=3,H181, 0)</f>
        <v>0</v>
      </c>
      <c r="Z181">
        <f>IF(Source!BI50=4,H181, 0)</f>
        <v>0</v>
      </c>
    </row>
    <row r="182" spans="1:26" ht="41.25" x14ac:dyDescent="0.2">
      <c r="A182" s="24">
        <v>28</v>
      </c>
      <c r="B182" s="24" t="str">
        <f>Source!E51</f>
        <v>20</v>
      </c>
      <c r="C182" s="25" t="str">
        <f>Source!F51</f>
        <v>ЭТМ</v>
      </c>
      <c r="D182" s="23" t="s">
        <v>429</v>
      </c>
      <c r="E182" s="26" t="str">
        <f>Source!H51</f>
        <v>ШТ</v>
      </c>
      <c r="F182" s="10">
        <f>Source!I51</f>
        <v>8</v>
      </c>
      <c r="G182" s="28">
        <f>IF(Source!AK51&lt;&gt; 0, Source!AK51,Source!AL51 + Source!AM51 + Source!AO51)</f>
        <v>5284.25</v>
      </c>
      <c r="H182" s="27"/>
      <c r="I182" s="28"/>
      <c r="J182" s="27" t="str">
        <f>Source!BO51</f>
        <v/>
      </c>
      <c r="K182" s="27"/>
      <c r="L182" s="28"/>
      <c r="M182" s="29"/>
      <c r="S182">
        <f>ROUND((Source!FX51/100)*((ROUND(Source!AF51*Source!I51, 2)+ROUND(Source!AE51*Source!I51, 2))), 2)</f>
        <v>0</v>
      </c>
      <c r="T182">
        <f>Source!X51</f>
        <v>0</v>
      </c>
      <c r="U182">
        <f>ROUND((Source!FY51/100)*((ROUND(Source!AF51*Source!I51, 2)+ROUND(Source!AE51*Source!I51, 2))), 2)</f>
        <v>0</v>
      </c>
      <c r="V182">
        <f>Source!Y51</f>
        <v>0</v>
      </c>
    </row>
    <row r="183" spans="1:26" ht="14.25" x14ac:dyDescent="0.2">
      <c r="A183" s="36"/>
      <c r="B183" s="36"/>
      <c r="C183" s="37"/>
      <c r="D183" s="38" t="s">
        <v>425</v>
      </c>
      <c r="E183" s="39"/>
      <c r="F183" s="40"/>
      <c r="G183" s="41">
        <f>Source!AL51</f>
        <v>5284.25</v>
      </c>
      <c r="H183" s="42" t="str">
        <f>Source!DD51</f>
        <v/>
      </c>
      <c r="I183" s="41">
        <f>ROUND(Source!AC51*Source!I51, 2)</f>
        <v>42274</v>
      </c>
      <c r="J183" s="42"/>
      <c r="K183" s="42">
        <f>IF(Source!BC51&lt;&gt; 0, Source!BC51, 1)</f>
        <v>1</v>
      </c>
      <c r="L183" s="41">
        <f>Source!P51</f>
        <v>42274</v>
      </c>
      <c r="M183" s="46"/>
    </row>
    <row r="184" spans="1:26" ht="15" x14ac:dyDescent="0.25">
      <c r="H184" s="87">
        <f>ROUND(Source!AC51*Source!I51, 2)+ROUND(Source!AF51*Source!I51, 2)+ROUND((((Source!ET51)-(Source!EU51))+Source!AE51)*Source!I51, 2)</f>
        <v>42274</v>
      </c>
      <c r="I184" s="87"/>
      <c r="K184" s="87">
        <f>Source!O51</f>
        <v>42274</v>
      </c>
      <c r="L184" s="87"/>
      <c r="M184" s="35">
        <f>Source!U51</f>
        <v>0</v>
      </c>
      <c r="O184" s="34">
        <f>H184</f>
        <v>42274</v>
      </c>
      <c r="P184" s="34">
        <f>K184</f>
        <v>42274</v>
      </c>
      <c r="Q184" s="34">
        <f>M184</f>
        <v>0</v>
      </c>
      <c r="W184">
        <f>IF(Source!BI51&lt;=1,H184, 0)</f>
        <v>42274</v>
      </c>
      <c r="X184">
        <f>IF(Source!BI51=2,H184, 0)</f>
        <v>0</v>
      </c>
      <c r="Y184">
        <f>IF(Source!BI51=3,H184, 0)</f>
        <v>0</v>
      </c>
      <c r="Z184">
        <f>IF(Source!BI51=4,H184, 0)</f>
        <v>0</v>
      </c>
    </row>
    <row r="185" spans="1:26" ht="41.25" x14ac:dyDescent="0.2">
      <c r="A185" s="24">
        <v>29</v>
      </c>
      <c r="B185" s="24" t="str">
        <f>Source!E52</f>
        <v>21</v>
      </c>
      <c r="C185" s="25" t="str">
        <f>Source!F52</f>
        <v>ЕКС</v>
      </c>
      <c r="D185" s="23" t="s">
        <v>430</v>
      </c>
      <c r="E185" s="26" t="str">
        <f>Source!H52</f>
        <v>ШТ</v>
      </c>
      <c r="F185" s="10">
        <f>Source!I52</f>
        <v>8</v>
      </c>
      <c r="G185" s="28">
        <f>IF(Source!AK52&lt;&gt; 0, Source!AK52,Source!AL52 + Source!AM52 + Source!AO52)</f>
        <v>447.5</v>
      </c>
      <c r="H185" s="27"/>
      <c r="I185" s="28"/>
      <c r="J185" s="27" t="str">
        <f>Source!BO52</f>
        <v/>
      </c>
      <c r="K185" s="27"/>
      <c r="L185" s="28"/>
      <c r="M185" s="29"/>
      <c r="S185">
        <f>ROUND((Source!FX52/100)*((ROUND(Source!AF52*Source!I52, 2)+ROUND(Source!AE52*Source!I52, 2))), 2)</f>
        <v>0</v>
      </c>
      <c r="T185">
        <f>Source!X52</f>
        <v>0</v>
      </c>
      <c r="U185">
        <f>ROUND((Source!FY52/100)*((ROUND(Source!AF52*Source!I52, 2)+ROUND(Source!AE52*Source!I52, 2))), 2)</f>
        <v>0</v>
      </c>
      <c r="V185">
        <f>Source!Y52</f>
        <v>0</v>
      </c>
    </row>
    <row r="186" spans="1:26" ht="14.25" x14ac:dyDescent="0.2">
      <c r="A186" s="36"/>
      <c r="B186" s="36"/>
      <c r="C186" s="37"/>
      <c r="D186" s="38" t="s">
        <v>425</v>
      </c>
      <c r="E186" s="39"/>
      <c r="F186" s="40"/>
      <c r="G186" s="41">
        <f>Source!AL52</f>
        <v>447.5</v>
      </c>
      <c r="H186" s="42" t="str">
        <f>Source!DD52</f>
        <v/>
      </c>
      <c r="I186" s="41">
        <f>ROUND(Source!AC52*Source!I52, 2)</f>
        <v>3580</v>
      </c>
      <c r="J186" s="42"/>
      <c r="K186" s="42">
        <f>IF(Source!BC52&lt;&gt; 0, Source!BC52, 1)</f>
        <v>1</v>
      </c>
      <c r="L186" s="41">
        <f>Source!P52</f>
        <v>3580</v>
      </c>
      <c r="M186" s="46"/>
    </row>
    <row r="187" spans="1:26" ht="15" x14ac:dyDescent="0.25">
      <c r="H187" s="87">
        <f>ROUND(Source!AC52*Source!I52, 2)+ROUND(Source!AF52*Source!I52, 2)+ROUND((((Source!ET52)-(Source!EU52))+Source!AE52)*Source!I52, 2)</f>
        <v>3580</v>
      </c>
      <c r="I187" s="87"/>
      <c r="K187" s="87">
        <f>Source!O52</f>
        <v>3580</v>
      </c>
      <c r="L187" s="87"/>
      <c r="M187" s="35">
        <f>Source!U52</f>
        <v>0</v>
      </c>
      <c r="O187" s="34">
        <f>H187</f>
        <v>3580</v>
      </c>
      <c r="P187" s="34">
        <f>K187</f>
        <v>3580</v>
      </c>
      <c r="Q187" s="34">
        <f>M187</f>
        <v>0</v>
      </c>
      <c r="W187">
        <f>IF(Source!BI52&lt;=1,H187, 0)</f>
        <v>3580</v>
      </c>
      <c r="X187">
        <f>IF(Source!BI52=2,H187, 0)</f>
        <v>0</v>
      </c>
      <c r="Y187">
        <f>IF(Source!BI52=3,H187, 0)</f>
        <v>0</v>
      </c>
      <c r="Z187">
        <f>IF(Source!BI52=4,H187, 0)</f>
        <v>0</v>
      </c>
    </row>
    <row r="188" spans="1:26" ht="27" x14ac:dyDescent="0.2">
      <c r="A188" s="24">
        <v>30</v>
      </c>
      <c r="B188" s="24" t="str">
        <f>Source!E53</f>
        <v>22</v>
      </c>
      <c r="C188" s="25" t="str">
        <f>Source!F53</f>
        <v>ЕКС</v>
      </c>
      <c r="D188" s="23" t="s">
        <v>431</v>
      </c>
      <c r="E188" s="26" t="str">
        <f>Source!H53</f>
        <v>ШТ</v>
      </c>
      <c r="F188" s="10">
        <f>Source!I53</f>
        <v>4</v>
      </c>
      <c r="G188" s="28">
        <f>IF(Source!AK53&lt;&gt; 0, Source!AK53,Source!AL53 + Source!AM53 + Source!AO53)</f>
        <v>1141.67</v>
      </c>
      <c r="H188" s="27"/>
      <c r="I188" s="28"/>
      <c r="J188" s="27" t="str">
        <f>Source!BO53</f>
        <v/>
      </c>
      <c r="K188" s="27"/>
      <c r="L188" s="28"/>
      <c r="M188" s="29"/>
      <c r="S188">
        <f>ROUND((Source!FX53/100)*((ROUND(Source!AF53*Source!I53, 2)+ROUND(Source!AE53*Source!I53, 2))), 2)</f>
        <v>0</v>
      </c>
      <c r="T188">
        <f>Source!X53</f>
        <v>0</v>
      </c>
      <c r="U188">
        <f>ROUND((Source!FY53/100)*((ROUND(Source!AF53*Source!I53, 2)+ROUND(Source!AE53*Source!I53, 2))), 2)</f>
        <v>0</v>
      </c>
      <c r="V188">
        <f>Source!Y53</f>
        <v>0</v>
      </c>
    </row>
    <row r="189" spans="1:26" ht="14.25" x14ac:dyDescent="0.2">
      <c r="A189" s="36"/>
      <c r="B189" s="36"/>
      <c r="C189" s="37"/>
      <c r="D189" s="38" t="s">
        <v>425</v>
      </c>
      <c r="E189" s="39"/>
      <c r="F189" s="40"/>
      <c r="G189" s="41">
        <f>Source!AL53</f>
        <v>1141.67</v>
      </c>
      <c r="H189" s="42" t="str">
        <f>Source!DD53</f>
        <v/>
      </c>
      <c r="I189" s="41">
        <f>ROUND(Source!AC53*Source!I53, 2)</f>
        <v>4566.68</v>
      </c>
      <c r="J189" s="42"/>
      <c r="K189" s="42">
        <f>IF(Source!BC53&lt;&gt; 0, Source!BC53, 1)</f>
        <v>1</v>
      </c>
      <c r="L189" s="41">
        <f>Source!P53</f>
        <v>4566.68</v>
      </c>
      <c r="M189" s="46"/>
    </row>
    <row r="190" spans="1:26" ht="15" x14ac:dyDescent="0.25">
      <c r="H190" s="87">
        <f>ROUND(Source!AC53*Source!I53, 2)+ROUND(Source!AF53*Source!I53, 2)+ROUND((((Source!ET53)-(Source!EU53))+Source!AE53)*Source!I53, 2)</f>
        <v>4566.68</v>
      </c>
      <c r="I190" s="87"/>
      <c r="K190" s="87">
        <f>Source!O53</f>
        <v>4566.68</v>
      </c>
      <c r="L190" s="87"/>
      <c r="M190" s="35">
        <f>Source!U53</f>
        <v>0</v>
      </c>
      <c r="O190" s="34">
        <f>H190</f>
        <v>4566.68</v>
      </c>
      <c r="P190" s="34">
        <f>K190</f>
        <v>4566.68</v>
      </c>
      <c r="Q190" s="34">
        <f>M190</f>
        <v>0</v>
      </c>
      <c r="W190">
        <f>IF(Source!BI53&lt;=1,H190, 0)</f>
        <v>4566.68</v>
      </c>
      <c r="X190">
        <f>IF(Source!BI53=2,H190, 0)</f>
        <v>0</v>
      </c>
      <c r="Y190">
        <f>IF(Source!BI53=3,H190, 0)</f>
        <v>0</v>
      </c>
      <c r="Z190">
        <f>IF(Source!BI53=4,H190, 0)</f>
        <v>0</v>
      </c>
    </row>
    <row r="191" spans="1:26" ht="27" x14ac:dyDescent="0.2">
      <c r="A191" s="24">
        <v>31</v>
      </c>
      <c r="B191" s="24" t="str">
        <f>Source!E54</f>
        <v>23</v>
      </c>
      <c r="C191" s="25" t="str">
        <f>Source!F54</f>
        <v>ЕКС</v>
      </c>
      <c r="D191" s="23" t="s">
        <v>432</v>
      </c>
      <c r="E191" s="26" t="str">
        <f>Source!H54</f>
        <v>ШТ</v>
      </c>
      <c r="F191" s="10">
        <f>Source!I54</f>
        <v>8</v>
      </c>
      <c r="G191" s="28">
        <f>IF(Source!AK54&lt;&gt; 0, Source!AK54,Source!AL54 + Source!AM54 + Source!AO54)</f>
        <v>60.79</v>
      </c>
      <c r="H191" s="27"/>
      <c r="I191" s="28"/>
      <c r="J191" s="27" t="str">
        <f>Source!BO54</f>
        <v/>
      </c>
      <c r="K191" s="27"/>
      <c r="L191" s="28"/>
      <c r="M191" s="29"/>
      <c r="S191">
        <f>ROUND((Source!FX54/100)*((ROUND(Source!AF54*Source!I54, 2)+ROUND(Source!AE54*Source!I54, 2))), 2)</f>
        <v>0</v>
      </c>
      <c r="T191">
        <f>Source!X54</f>
        <v>0</v>
      </c>
      <c r="U191">
        <f>ROUND((Source!FY54/100)*((ROUND(Source!AF54*Source!I54, 2)+ROUND(Source!AE54*Source!I54, 2))), 2)</f>
        <v>0</v>
      </c>
      <c r="V191">
        <f>Source!Y54</f>
        <v>0</v>
      </c>
    </row>
    <row r="192" spans="1:26" ht="14.25" x14ac:dyDescent="0.2">
      <c r="A192" s="36"/>
      <c r="B192" s="36"/>
      <c r="C192" s="37"/>
      <c r="D192" s="38" t="s">
        <v>425</v>
      </c>
      <c r="E192" s="39"/>
      <c r="F192" s="40"/>
      <c r="G192" s="41">
        <f>Source!AL54</f>
        <v>60.79</v>
      </c>
      <c r="H192" s="42" t="str">
        <f>Source!DD54</f>
        <v/>
      </c>
      <c r="I192" s="41">
        <f>ROUND(Source!AC54*Source!I54, 2)</f>
        <v>486.32</v>
      </c>
      <c r="J192" s="42"/>
      <c r="K192" s="42">
        <f>IF(Source!BC54&lt;&gt; 0, Source!BC54, 1)</f>
        <v>1</v>
      </c>
      <c r="L192" s="41">
        <f>Source!P54</f>
        <v>486.32</v>
      </c>
      <c r="M192" s="46"/>
    </row>
    <row r="193" spans="1:26" ht="15" x14ac:dyDescent="0.25">
      <c r="H193" s="87">
        <f>ROUND(Source!AC54*Source!I54, 2)+ROUND(Source!AF54*Source!I54, 2)+ROUND((((Source!ET54)-(Source!EU54))+Source!AE54)*Source!I54, 2)</f>
        <v>486.32</v>
      </c>
      <c r="I193" s="87"/>
      <c r="K193" s="87">
        <f>Source!O54</f>
        <v>486.32</v>
      </c>
      <c r="L193" s="87"/>
      <c r="M193" s="35">
        <f>Source!U54</f>
        <v>0</v>
      </c>
      <c r="O193" s="34">
        <f>H193</f>
        <v>486.32</v>
      </c>
      <c r="P193" s="34">
        <f>K193</f>
        <v>486.32</v>
      </c>
      <c r="Q193" s="34">
        <f>M193</f>
        <v>0</v>
      </c>
      <c r="W193">
        <f>IF(Source!BI54&lt;=1,H193, 0)</f>
        <v>486.32</v>
      </c>
      <c r="X193">
        <f>IF(Source!BI54=2,H193, 0)</f>
        <v>0</v>
      </c>
      <c r="Y193">
        <f>IF(Source!BI54=3,H193, 0)</f>
        <v>0</v>
      </c>
      <c r="Z193">
        <f>IF(Source!BI54=4,H193, 0)</f>
        <v>0</v>
      </c>
    </row>
    <row r="194" spans="1:26" ht="27" x14ac:dyDescent="0.2">
      <c r="A194" s="24">
        <v>32</v>
      </c>
      <c r="B194" s="24" t="str">
        <f>Source!E55</f>
        <v>24</v>
      </c>
      <c r="C194" s="25" t="str">
        <f>Source!F55</f>
        <v>ЕКС</v>
      </c>
      <c r="D194" s="23" t="s">
        <v>433</v>
      </c>
      <c r="E194" s="26" t="str">
        <f>Source!H55</f>
        <v>ШТ</v>
      </c>
      <c r="F194" s="10">
        <f>Source!I55</f>
        <v>10</v>
      </c>
      <c r="G194" s="28">
        <f>IF(Source!AK55&lt;&gt; 0, Source!AK55,Source!AL55 + Source!AM55 + Source!AO55)</f>
        <v>1564.17</v>
      </c>
      <c r="H194" s="27"/>
      <c r="I194" s="28"/>
      <c r="J194" s="27" t="str">
        <f>Source!BO55</f>
        <v/>
      </c>
      <c r="K194" s="27"/>
      <c r="L194" s="28"/>
      <c r="M194" s="29"/>
      <c r="S194">
        <f>ROUND((Source!FX55/100)*((ROUND(Source!AF55*Source!I55, 2)+ROUND(Source!AE55*Source!I55, 2))), 2)</f>
        <v>0</v>
      </c>
      <c r="T194">
        <f>Source!X55</f>
        <v>0</v>
      </c>
      <c r="U194">
        <f>ROUND((Source!FY55/100)*((ROUND(Source!AF55*Source!I55, 2)+ROUND(Source!AE55*Source!I55, 2))), 2)</f>
        <v>0</v>
      </c>
      <c r="V194">
        <f>Source!Y55</f>
        <v>0</v>
      </c>
    </row>
    <row r="195" spans="1:26" ht="14.25" x14ac:dyDescent="0.2">
      <c r="A195" s="36"/>
      <c r="B195" s="36"/>
      <c r="C195" s="37"/>
      <c r="D195" s="38" t="s">
        <v>425</v>
      </c>
      <c r="E195" s="39"/>
      <c r="F195" s="40"/>
      <c r="G195" s="41">
        <f>Source!AL55</f>
        <v>1564.17</v>
      </c>
      <c r="H195" s="42" t="str">
        <f>Source!DD55</f>
        <v/>
      </c>
      <c r="I195" s="41">
        <f>ROUND(Source!AC55*Source!I55, 2)</f>
        <v>15641.7</v>
      </c>
      <c r="J195" s="42"/>
      <c r="K195" s="42">
        <f>IF(Source!BC55&lt;&gt; 0, Source!BC55, 1)</f>
        <v>1</v>
      </c>
      <c r="L195" s="41">
        <f>Source!P55</f>
        <v>15641.7</v>
      </c>
      <c r="M195" s="46"/>
    </row>
    <row r="196" spans="1:26" ht="15" x14ac:dyDescent="0.25">
      <c r="H196" s="87">
        <f>ROUND(Source!AC55*Source!I55, 2)+ROUND(Source!AF55*Source!I55, 2)+ROUND((((Source!ET55)-(Source!EU55))+Source!AE55)*Source!I55, 2)</f>
        <v>15641.7</v>
      </c>
      <c r="I196" s="87"/>
      <c r="K196" s="87">
        <f>Source!O55</f>
        <v>15641.7</v>
      </c>
      <c r="L196" s="87"/>
      <c r="M196" s="35">
        <f>Source!U55</f>
        <v>0</v>
      </c>
      <c r="O196" s="34">
        <f>H196</f>
        <v>15641.7</v>
      </c>
      <c r="P196" s="34">
        <f>K196</f>
        <v>15641.7</v>
      </c>
      <c r="Q196" s="34">
        <f>M196</f>
        <v>0</v>
      </c>
      <c r="W196">
        <f>IF(Source!BI55&lt;=1,H196, 0)</f>
        <v>15641.7</v>
      </c>
      <c r="X196">
        <f>IF(Source!BI55=2,H196, 0)</f>
        <v>0</v>
      </c>
      <c r="Y196">
        <f>IF(Source!BI55=3,H196, 0)</f>
        <v>0</v>
      </c>
      <c r="Z196">
        <f>IF(Source!BI55=4,H196, 0)</f>
        <v>0</v>
      </c>
    </row>
    <row r="197" spans="1:26" ht="27" x14ac:dyDescent="0.2">
      <c r="A197" s="24">
        <v>33</v>
      </c>
      <c r="B197" s="24" t="str">
        <f>Source!E56</f>
        <v>25</v>
      </c>
      <c r="C197" s="25" t="str">
        <f>Source!F56</f>
        <v>ЕКС</v>
      </c>
      <c r="D197" s="23" t="s">
        <v>434</v>
      </c>
      <c r="E197" s="26" t="str">
        <f>Source!H56</f>
        <v>ШТ</v>
      </c>
      <c r="F197" s="10">
        <f>Source!I56</f>
        <v>50</v>
      </c>
      <c r="G197" s="28">
        <f>IF(Source!AK56&lt;&gt; 0, Source!AK56,Source!AL56 + Source!AM56 + Source!AO56)</f>
        <v>15</v>
      </c>
      <c r="H197" s="27"/>
      <c r="I197" s="28"/>
      <c r="J197" s="27" t="str">
        <f>Source!BO56</f>
        <v/>
      </c>
      <c r="K197" s="27"/>
      <c r="L197" s="28"/>
      <c r="M197" s="29"/>
      <c r="S197">
        <f>ROUND((Source!FX56/100)*((ROUND(Source!AF56*Source!I56, 2)+ROUND(Source!AE56*Source!I56, 2))), 2)</f>
        <v>0</v>
      </c>
      <c r="T197">
        <f>Source!X56</f>
        <v>0</v>
      </c>
      <c r="U197">
        <f>ROUND((Source!FY56/100)*((ROUND(Source!AF56*Source!I56, 2)+ROUND(Source!AE56*Source!I56, 2))), 2)</f>
        <v>0</v>
      </c>
      <c r="V197">
        <f>Source!Y56</f>
        <v>0</v>
      </c>
    </row>
    <row r="198" spans="1:26" ht="14.25" x14ac:dyDescent="0.2">
      <c r="A198" s="36"/>
      <c r="B198" s="36"/>
      <c r="C198" s="37"/>
      <c r="D198" s="38" t="s">
        <v>425</v>
      </c>
      <c r="E198" s="39"/>
      <c r="F198" s="40"/>
      <c r="G198" s="41">
        <f>Source!AL56</f>
        <v>15</v>
      </c>
      <c r="H198" s="42" t="str">
        <f>Source!DD56</f>
        <v/>
      </c>
      <c r="I198" s="41">
        <f>ROUND(Source!AC56*Source!I56, 2)</f>
        <v>750</v>
      </c>
      <c r="J198" s="42"/>
      <c r="K198" s="42">
        <f>IF(Source!BC56&lt;&gt; 0, Source!BC56, 1)</f>
        <v>1</v>
      </c>
      <c r="L198" s="41">
        <f>Source!P56</f>
        <v>750</v>
      </c>
      <c r="M198" s="46"/>
    </row>
    <row r="199" spans="1:26" ht="15" x14ac:dyDescent="0.25">
      <c r="H199" s="87">
        <f>ROUND(Source!AC56*Source!I56, 2)+ROUND(Source!AF56*Source!I56, 2)+ROUND((((Source!ET56)-(Source!EU56))+Source!AE56)*Source!I56, 2)</f>
        <v>750</v>
      </c>
      <c r="I199" s="87"/>
      <c r="K199" s="87">
        <f>Source!O56</f>
        <v>750</v>
      </c>
      <c r="L199" s="87"/>
      <c r="M199" s="35">
        <f>Source!U56</f>
        <v>0</v>
      </c>
      <c r="O199" s="34">
        <f>H199</f>
        <v>750</v>
      </c>
      <c r="P199" s="34">
        <f>K199</f>
        <v>750</v>
      </c>
      <c r="Q199" s="34">
        <f>M199</f>
        <v>0</v>
      </c>
      <c r="W199">
        <f>IF(Source!BI56&lt;=1,H199, 0)</f>
        <v>750</v>
      </c>
      <c r="X199">
        <f>IF(Source!BI56=2,H199, 0)</f>
        <v>0</v>
      </c>
      <c r="Y199">
        <f>IF(Source!BI56=3,H199, 0)</f>
        <v>0</v>
      </c>
      <c r="Z199">
        <f>IF(Source!BI56=4,H199, 0)</f>
        <v>0</v>
      </c>
    </row>
    <row r="200" spans="1:26" ht="27" x14ac:dyDescent="0.2">
      <c r="A200" s="24">
        <v>34</v>
      </c>
      <c r="B200" s="24" t="str">
        <f>Source!E57</f>
        <v>26</v>
      </c>
      <c r="C200" s="25" t="str">
        <f>Source!F57</f>
        <v>ЕКС</v>
      </c>
      <c r="D200" s="23" t="s">
        <v>435</v>
      </c>
      <c r="E200" s="26" t="str">
        <f>Source!H57</f>
        <v>ШТ</v>
      </c>
      <c r="F200" s="10">
        <f>Source!I57</f>
        <v>25</v>
      </c>
      <c r="G200" s="28">
        <f>IF(Source!AK57&lt;&gt; 0, Source!AK57,Source!AL57 + Source!AM57 + Source!AO57)</f>
        <v>103.33</v>
      </c>
      <c r="H200" s="27"/>
      <c r="I200" s="28"/>
      <c r="J200" s="27" t="str">
        <f>Source!BO57</f>
        <v/>
      </c>
      <c r="K200" s="27"/>
      <c r="L200" s="28"/>
      <c r="M200" s="29"/>
      <c r="S200">
        <f>ROUND((Source!FX57/100)*((ROUND(Source!AF57*Source!I57, 2)+ROUND(Source!AE57*Source!I57, 2))), 2)</f>
        <v>0</v>
      </c>
      <c r="T200">
        <f>Source!X57</f>
        <v>0</v>
      </c>
      <c r="U200">
        <f>ROUND((Source!FY57/100)*((ROUND(Source!AF57*Source!I57, 2)+ROUND(Source!AE57*Source!I57, 2))), 2)</f>
        <v>0</v>
      </c>
      <c r="V200">
        <f>Source!Y57</f>
        <v>0</v>
      </c>
    </row>
    <row r="201" spans="1:26" ht="14.25" x14ac:dyDescent="0.2">
      <c r="A201" s="36"/>
      <c r="B201" s="36"/>
      <c r="C201" s="37"/>
      <c r="D201" s="38" t="s">
        <v>425</v>
      </c>
      <c r="E201" s="39"/>
      <c r="F201" s="40"/>
      <c r="G201" s="41">
        <f>Source!AL57</f>
        <v>103.33</v>
      </c>
      <c r="H201" s="42" t="str">
        <f>Source!DD57</f>
        <v/>
      </c>
      <c r="I201" s="41">
        <f>ROUND(Source!AC57*Source!I57, 2)</f>
        <v>2583.25</v>
      </c>
      <c r="J201" s="42"/>
      <c r="K201" s="42">
        <f>IF(Source!BC57&lt;&gt; 0, Source!BC57, 1)</f>
        <v>1</v>
      </c>
      <c r="L201" s="41">
        <f>Source!P57</f>
        <v>2583.25</v>
      </c>
      <c r="M201" s="46"/>
    </row>
    <row r="202" spans="1:26" ht="15" x14ac:dyDescent="0.25">
      <c r="H202" s="87">
        <f>ROUND(Source!AC57*Source!I57, 2)+ROUND(Source!AF57*Source!I57, 2)+ROUND((((Source!ET57)-(Source!EU57))+Source!AE57)*Source!I57, 2)</f>
        <v>2583.25</v>
      </c>
      <c r="I202" s="87"/>
      <c r="K202" s="87">
        <f>Source!O57</f>
        <v>2583.25</v>
      </c>
      <c r="L202" s="87"/>
      <c r="M202" s="35">
        <f>Source!U57</f>
        <v>0</v>
      </c>
      <c r="O202" s="34">
        <f>H202</f>
        <v>2583.25</v>
      </c>
      <c r="P202" s="34">
        <f>K202</f>
        <v>2583.25</v>
      </c>
      <c r="Q202" s="34">
        <f>M202</f>
        <v>0</v>
      </c>
      <c r="W202">
        <f>IF(Source!BI57&lt;=1,H202, 0)</f>
        <v>2583.25</v>
      </c>
      <c r="X202">
        <f>IF(Source!BI57=2,H202, 0)</f>
        <v>0</v>
      </c>
      <c r="Y202">
        <f>IF(Source!BI57=3,H202, 0)</f>
        <v>0</v>
      </c>
      <c r="Z202">
        <f>IF(Source!BI57=4,H202, 0)</f>
        <v>0</v>
      </c>
    </row>
    <row r="203" spans="1:26" ht="27" x14ac:dyDescent="0.2">
      <c r="A203" s="24">
        <v>35</v>
      </c>
      <c r="B203" s="24" t="str">
        <f>Source!E58</f>
        <v>27</v>
      </c>
      <c r="C203" s="25" t="str">
        <f>Source!F58</f>
        <v>ЕКС</v>
      </c>
      <c r="D203" s="23" t="s">
        <v>436</v>
      </c>
      <c r="E203" s="26" t="str">
        <f>Source!H58</f>
        <v>ШТ</v>
      </c>
      <c r="F203" s="10">
        <f>Source!I58</f>
        <v>125</v>
      </c>
      <c r="G203" s="28">
        <f>IF(Source!AK58&lt;&gt; 0, Source!AK58,Source!AL58 + Source!AM58 + Source!AO58)</f>
        <v>4.17</v>
      </c>
      <c r="H203" s="27"/>
      <c r="I203" s="28"/>
      <c r="J203" s="27" t="str">
        <f>Source!BO58</f>
        <v/>
      </c>
      <c r="K203" s="27"/>
      <c r="L203" s="28"/>
      <c r="M203" s="29"/>
      <c r="S203">
        <f>ROUND((Source!FX58/100)*((ROUND(Source!AF58*Source!I58, 2)+ROUND(Source!AE58*Source!I58, 2))), 2)</f>
        <v>0</v>
      </c>
      <c r="T203">
        <f>Source!X58</f>
        <v>0</v>
      </c>
      <c r="U203">
        <f>ROUND((Source!FY58/100)*((ROUND(Source!AF58*Source!I58, 2)+ROUND(Source!AE58*Source!I58, 2))), 2)</f>
        <v>0</v>
      </c>
      <c r="V203">
        <f>Source!Y58</f>
        <v>0</v>
      </c>
    </row>
    <row r="204" spans="1:26" ht="14.25" x14ac:dyDescent="0.2">
      <c r="A204" s="36"/>
      <c r="B204" s="36"/>
      <c r="C204" s="37"/>
      <c r="D204" s="38" t="s">
        <v>425</v>
      </c>
      <c r="E204" s="39"/>
      <c r="F204" s="40"/>
      <c r="G204" s="41">
        <f>Source!AL58</f>
        <v>4.17</v>
      </c>
      <c r="H204" s="42" t="str">
        <f>Source!DD58</f>
        <v/>
      </c>
      <c r="I204" s="41">
        <f>ROUND(Source!AC58*Source!I58, 2)</f>
        <v>521.25</v>
      </c>
      <c r="J204" s="42"/>
      <c r="K204" s="42">
        <f>IF(Source!BC58&lt;&gt; 0, Source!BC58, 1)</f>
        <v>1</v>
      </c>
      <c r="L204" s="41">
        <f>Source!P58</f>
        <v>521.25</v>
      </c>
      <c r="M204" s="46"/>
    </row>
    <row r="205" spans="1:26" ht="15" x14ac:dyDescent="0.25">
      <c r="H205" s="87">
        <f>ROUND(Source!AC58*Source!I58, 2)+ROUND(Source!AF58*Source!I58, 2)+ROUND((((Source!ET58)-(Source!EU58))+Source!AE58)*Source!I58, 2)</f>
        <v>521.25</v>
      </c>
      <c r="I205" s="87"/>
      <c r="K205" s="87">
        <f>Source!O58</f>
        <v>521.25</v>
      </c>
      <c r="L205" s="87"/>
      <c r="M205" s="35">
        <f>Source!U58</f>
        <v>0</v>
      </c>
      <c r="O205" s="34">
        <f>H205</f>
        <v>521.25</v>
      </c>
      <c r="P205" s="34">
        <f>K205</f>
        <v>521.25</v>
      </c>
      <c r="Q205" s="34">
        <f>M205</f>
        <v>0</v>
      </c>
      <c r="W205">
        <f>IF(Source!BI58&lt;=1,H205, 0)</f>
        <v>521.25</v>
      </c>
      <c r="X205">
        <f>IF(Source!BI58=2,H205, 0)</f>
        <v>0</v>
      </c>
      <c r="Y205">
        <f>IF(Source!BI58=3,H205, 0)</f>
        <v>0</v>
      </c>
      <c r="Z205">
        <f>IF(Source!BI58=4,H205, 0)</f>
        <v>0</v>
      </c>
    </row>
    <row r="206" spans="1:26" ht="27" x14ac:dyDescent="0.2">
      <c r="A206" s="24">
        <v>36</v>
      </c>
      <c r="B206" s="24" t="str">
        <f>Source!E59</f>
        <v>28</v>
      </c>
      <c r="C206" s="25" t="str">
        <f>Source!F59</f>
        <v>ЕКС</v>
      </c>
      <c r="D206" s="23" t="s">
        <v>437</v>
      </c>
      <c r="E206" s="26" t="str">
        <f>Source!H59</f>
        <v>ШТ</v>
      </c>
      <c r="F206" s="10">
        <f>Source!I59</f>
        <v>100</v>
      </c>
      <c r="G206" s="28">
        <f>IF(Source!AK59&lt;&gt; 0, Source!AK59,Source!AL59 + Source!AM59 + Source!AO59)</f>
        <v>7.5</v>
      </c>
      <c r="H206" s="27"/>
      <c r="I206" s="28"/>
      <c r="J206" s="27" t="str">
        <f>Source!BO59</f>
        <v/>
      </c>
      <c r="K206" s="27"/>
      <c r="L206" s="28"/>
      <c r="M206" s="29"/>
      <c r="S206">
        <f>ROUND((Source!FX59/100)*((ROUND(Source!AF59*Source!I59, 2)+ROUND(Source!AE59*Source!I59, 2))), 2)</f>
        <v>0</v>
      </c>
      <c r="T206">
        <f>Source!X59</f>
        <v>0</v>
      </c>
      <c r="U206">
        <f>ROUND((Source!FY59/100)*((ROUND(Source!AF59*Source!I59, 2)+ROUND(Source!AE59*Source!I59, 2))), 2)</f>
        <v>0</v>
      </c>
      <c r="V206">
        <f>Source!Y59</f>
        <v>0</v>
      </c>
    </row>
    <row r="207" spans="1:26" ht="14.25" x14ac:dyDescent="0.2">
      <c r="A207" s="36"/>
      <c r="B207" s="36"/>
      <c r="C207" s="37"/>
      <c r="D207" s="38" t="s">
        <v>425</v>
      </c>
      <c r="E207" s="39"/>
      <c r="F207" s="40"/>
      <c r="G207" s="41">
        <f>Source!AL59</f>
        <v>7.5</v>
      </c>
      <c r="H207" s="42" t="str">
        <f>Source!DD59</f>
        <v/>
      </c>
      <c r="I207" s="41">
        <f>ROUND(Source!AC59*Source!I59, 2)</f>
        <v>750</v>
      </c>
      <c r="J207" s="42"/>
      <c r="K207" s="42">
        <f>IF(Source!BC59&lt;&gt; 0, Source!BC59, 1)</f>
        <v>1</v>
      </c>
      <c r="L207" s="41">
        <f>Source!P59</f>
        <v>750</v>
      </c>
      <c r="M207" s="46"/>
    </row>
    <row r="208" spans="1:26" ht="15" x14ac:dyDescent="0.25">
      <c r="H208" s="87">
        <f>ROUND(Source!AC59*Source!I59, 2)+ROUND(Source!AF59*Source!I59, 2)+ROUND((((Source!ET59)-(Source!EU59))+Source!AE59)*Source!I59, 2)</f>
        <v>750</v>
      </c>
      <c r="I208" s="87"/>
      <c r="K208" s="87">
        <f>Source!O59</f>
        <v>750</v>
      </c>
      <c r="L208" s="87"/>
      <c r="M208" s="35">
        <f>Source!U59</f>
        <v>0</v>
      </c>
      <c r="O208" s="34">
        <f>H208</f>
        <v>750</v>
      </c>
      <c r="P208" s="34">
        <f>K208</f>
        <v>750</v>
      </c>
      <c r="Q208" s="34">
        <f>M208</f>
        <v>0</v>
      </c>
      <c r="W208">
        <f>IF(Source!BI59&lt;=1,H208, 0)</f>
        <v>750</v>
      </c>
      <c r="X208">
        <f>IF(Source!BI59=2,H208, 0)</f>
        <v>0</v>
      </c>
      <c r="Y208">
        <f>IF(Source!BI59=3,H208, 0)</f>
        <v>0</v>
      </c>
      <c r="Z208">
        <f>IF(Source!BI59=4,H208, 0)</f>
        <v>0</v>
      </c>
    </row>
    <row r="210" spans="1:39" ht="15" x14ac:dyDescent="0.25">
      <c r="A210" s="88" t="str">
        <f>CONCATENATE("Итого по локальной смете: ", Source!G61)</f>
        <v>Итого по локальной смете: Новая локальная смета</v>
      </c>
      <c r="B210" s="88"/>
      <c r="C210" s="88"/>
      <c r="D210" s="88"/>
      <c r="E210" s="88"/>
      <c r="F210" s="88"/>
      <c r="G210" s="88"/>
      <c r="H210" s="87">
        <f>SUM(O35:O209)</f>
        <v>573664.8899999999</v>
      </c>
      <c r="I210" s="97"/>
      <c r="J210" s="57"/>
      <c r="K210" s="87">
        <f>SUM(P35:P209)</f>
        <v>688164.07999999984</v>
      </c>
      <c r="L210" s="97"/>
      <c r="M210" s="35">
        <f>SUM(Q35:Q209)</f>
        <v>143.12730480000002</v>
      </c>
      <c r="AG210" s="58" t="str">
        <f>CONCATENATE("Итого по локальной смете: ", Source!G61)</f>
        <v>Итого по локальной смете: Новая локальная смета</v>
      </c>
    </row>
    <row r="212" spans="1:39" ht="14.25" x14ac:dyDescent="0.2">
      <c r="D212" s="23" t="str">
        <f>Source!H90</f>
        <v>ОЗП</v>
      </c>
      <c r="K212" s="86">
        <f>Source!F90</f>
        <v>41503.99</v>
      </c>
      <c r="L212" s="86"/>
    </row>
    <row r="213" spans="1:39" ht="14.25" x14ac:dyDescent="0.2">
      <c r="D213" s="23" t="str">
        <f>Source!H91</f>
        <v>ЭММ, в т.ч. ЗПМ</v>
      </c>
      <c r="K213" s="86">
        <f>Source!F91</f>
        <v>8341.85</v>
      </c>
      <c r="L213" s="86"/>
    </row>
    <row r="214" spans="1:39" ht="14.25" x14ac:dyDescent="0.2">
      <c r="D214" s="23" t="str">
        <f>Source!H92</f>
        <v>Стоимость материалов</v>
      </c>
      <c r="K214" s="86">
        <f>Source!F92</f>
        <v>578048.03</v>
      </c>
      <c r="L214" s="86"/>
    </row>
    <row r="215" spans="1:39" ht="14.25" x14ac:dyDescent="0.2">
      <c r="D215" s="23" t="str">
        <f>Source!H93</f>
        <v>НР</v>
      </c>
      <c r="K215" s="86">
        <f>Source!F93</f>
        <v>39788.71</v>
      </c>
      <c r="L215" s="86"/>
    </row>
    <row r="216" spans="1:39" ht="14.25" x14ac:dyDescent="0.2">
      <c r="D216" s="23" t="str">
        <f>Source!H94</f>
        <v>СП</v>
      </c>
      <c r="K216" s="86">
        <f>Source!F94</f>
        <v>20481.5</v>
      </c>
      <c r="L216" s="86"/>
    </row>
    <row r="217" spans="1:39" ht="14.25" x14ac:dyDescent="0.2">
      <c r="D217" s="23" t="str">
        <f>Source!H95</f>
        <v>Всего</v>
      </c>
      <c r="E217" s="84" t="str">
        <f>"="&amp;Source!F90&amp;"+"&amp;""&amp;Source!F91&amp;"+"&amp;""&amp;Source!F92&amp;"+"&amp;""&amp;Source!F93&amp;"+"&amp;""&amp;Source!F94&amp;""</f>
        <v>=41503,99+8341,85+578048,03+39788,71+20481,5</v>
      </c>
      <c r="F217" s="85"/>
      <c r="G217" s="85"/>
      <c r="H217" s="85"/>
      <c r="I217" s="85"/>
      <c r="J217" s="85"/>
      <c r="K217" s="86">
        <f>Source!F95</f>
        <v>688164.08</v>
      </c>
      <c r="L217" s="86"/>
      <c r="AM217" s="59" t="str">
        <f>"="&amp;Source!F90&amp;"+"&amp;""&amp;Source!F91&amp;"+"&amp;""&amp;Source!F92&amp;"+"&amp;""&amp;Source!F93&amp;"+"&amp;""&amp;Source!F94&amp;""</f>
        <v>=41503,99+8341,85+578048,03+39788,71+20481,5</v>
      </c>
    </row>
    <row r="218" spans="1:39" ht="14.25" x14ac:dyDescent="0.2">
      <c r="D218" s="23" t="str">
        <f>Source!H96</f>
        <v>НДС 20%</v>
      </c>
      <c r="E218" s="84" t="str">
        <f>"="&amp;Source!F95&amp;"*"&amp;"0,2"</f>
        <v>=688164,08*0,2</v>
      </c>
      <c r="F218" s="85"/>
      <c r="G218" s="85"/>
      <c r="H218" s="85"/>
      <c r="I218" s="85"/>
      <c r="J218" s="85"/>
      <c r="K218" s="86">
        <f>Source!F96</f>
        <v>137632.82</v>
      </c>
      <c r="L218" s="86"/>
      <c r="AM218" s="59" t="str">
        <f>"="&amp;Source!F95&amp;"*"&amp;"0,2"</f>
        <v>=688164,08*0,2</v>
      </c>
    </row>
    <row r="219" spans="1:39" ht="14.25" x14ac:dyDescent="0.2">
      <c r="D219" s="23" t="str">
        <f>Source!H97</f>
        <v>Итого с НДС</v>
      </c>
      <c r="E219" s="84" t="str">
        <f>"="&amp;Source!F95&amp;"+"&amp;""&amp;Source!F96&amp;""</f>
        <v>=688164,08+137632,82</v>
      </c>
      <c r="F219" s="85"/>
      <c r="G219" s="85"/>
      <c r="H219" s="85"/>
      <c r="I219" s="85"/>
      <c r="J219" s="85"/>
      <c r="K219" s="86">
        <f>Source!F97</f>
        <v>825796.9</v>
      </c>
      <c r="L219" s="86"/>
      <c r="AM219" s="59" t="str">
        <f>"="&amp;Source!F95&amp;"+"&amp;""&amp;Source!F96&amp;""</f>
        <v>=688164,08+137632,82</v>
      </c>
    </row>
    <row r="222" spans="1:39" ht="30" x14ac:dyDescent="0.25">
      <c r="A222" s="88" t="str">
        <f>CONCATENATE("Итого по смете: ", Source!G99)</f>
        <v>Итого по смете: Строительство КЛ-0,4 кВ от ТП-6/0,4 кВ до ВРУ-0,4 кВ многоквартирного жилого дома поз.5 в микрорайоне "Акварель", г. Чебоксары, к.н. 21:01:010901:3323</v>
      </c>
      <c r="B222" s="88"/>
      <c r="C222" s="88"/>
      <c r="D222" s="88"/>
      <c r="E222" s="88"/>
      <c r="F222" s="88"/>
      <c r="G222" s="88"/>
      <c r="H222" s="87">
        <f>SUM(O1:O221)</f>
        <v>573664.8899999999</v>
      </c>
      <c r="I222" s="97"/>
      <c r="J222" s="57"/>
      <c r="K222" s="87">
        <f>SUM(P1:P221)</f>
        <v>688164.07999999984</v>
      </c>
      <c r="L222" s="97"/>
      <c r="M222" s="35">
        <f>SUM(Q1:Q221)</f>
        <v>143.12730480000002</v>
      </c>
      <c r="AG222" s="58" t="str">
        <f>CONCATENATE("Итого по смете: ", Source!G99)</f>
        <v>Итого по смете: Строительство КЛ-0,4 кВ от ТП-6/0,4 кВ до ВРУ-0,4 кВ многоквартирного жилого дома поз.5 в микрорайоне "Акварель", г. Чебоксары, к.н. 21:01:010901:3323</v>
      </c>
    </row>
    <row r="224" spans="1:39" ht="14.25" x14ac:dyDescent="0.2">
      <c r="D224" s="23" t="str">
        <f>Source!H128</f>
        <v>ОЗП</v>
      </c>
      <c r="K224" s="86">
        <f>Source!F128</f>
        <v>41503.99</v>
      </c>
      <c r="L224" s="86"/>
    </row>
    <row r="225" spans="1:39" ht="14.25" x14ac:dyDescent="0.2">
      <c r="D225" s="23" t="str">
        <f>Source!H129</f>
        <v>ЭММ, в т.ч. ЗПМ</v>
      </c>
      <c r="K225" s="86">
        <f>Source!F129</f>
        <v>8341.85</v>
      </c>
      <c r="L225" s="86"/>
    </row>
    <row r="226" spans="1:39" ht="14.25" x14ac:dyDescent="0.2">
      <c r="D226" s="23" t="str">
        <f>Source!H130</f>
        <v>Стоимость материалов</v>
      </c>
      <c r="K226" s="86">
        <f>Source!F130</f>
        <v>578048.03</v>
      </c>
      <c r="L226" s="86"/>
    </row>
    <row r="227" spans="1:39" ht="14.25" x14ac:dyDescent="0.2">
      <c r="D227" s="23" t="str">
        <f>Source!H131</f>
        <v>НР</v>
      </c>
      <c r="K227" s="86">
        <f>Source!F131</f>
        <v>39788.71</v>
      </c>
      <c r="L227" s="86"/>
    </row>
    <row r="228" spans="1:39" ht="14.25" x14ac:dyDescent="0.2">
      <c r="D228" s="23" t="str">
        <f>Source!H132</f>
        <v>СП</v>
      </c>
      <c r="K228" s="86">
        <f>Source!F132</f>
        <v>20481.5</v>
      </c>
      <c r="L228" s="86"/>
    </row>
    <row r="229" spans="1:39" ht="14.25" x14ac:dyDescent="0.2">
      <c r="D229" s="23" t="str">
        <f>Source!H133</f>
        <v>Всего</v>
      </c>
      <c r="E229" s="84" t="str">
        <f>"="&amp;Source!F128&amp;"+"&amp;""&amp;Source!F129&amp;"+"&amp;""&amp;Source!F130&amp;"+"&amp;""&amp;Source!F131&amp;"+"&amp;""&amp;Source!F132&amp;""</f>
        <v>=41503,99+8341,85+578048,03+39788,71+20481,5</v>
      </c>
      <c r="F229" s="85"/>
      <c r="G229" s="85"/>
      <c r="H229" s="85"/>
      <c r="I229" s="85"/>
      <c r="J229" s="85"/>
      <c r="K229" s="86">
        <f>Source!F133</f>
        <v>688164.08</v>
      </c>
      <c r="L229" s="86"/>
      <c r="AM229" s="59" t="str">
        <f>"="&amp;Source!F128&amp;"+"&amp;""&amp;Source!F129&amp;"+"&amp;""&amp;Source!F130&amp;"+"&amp;""&amp;Source!F131&amp;"+"&amp;""&amp;Source!F132&amp;""</f>
        <v>=41503,99+8341,85+578048,03+39788,71+20481,5</v>
      </c>
    </row>
    <row r="230" spans="1:39" ht="14.25" x14ac:dyDescent="0.2">
      <c r="D230" s="23" t="str">
        <f>Source!H134</f>
        <v>НДС 20%</v>
      </c>
      <c r="E230" s="84" t="str">
        <f>"="&amp;Source!F133&amp;"*"&amp;"0,2"</f>
        <v>=688164,08*0,2</v>
      </c>
      <c r="F230" s="85"/>
      <c r="G230" s="85"/>
      <c r="H230" s="85"/>
      <c r="I230" s="85"/>
      <c r="J230" s="85"/>
      <c r="K230" s="86">
        <f>Source!F134</f>
        <v>137632.82</v>
      </c>
      <c r="L230" s="86"/>
      <c r="AM230" s="59" t="str">
        <f>"="&amp;Source!F133&amp;"*"&amp;"0,2"</f>
        <v>=688164,08*0,2</v>
      </c>
    </row>
    <row r="231" spans="1:39" ht="14.25" x14ac:dyDescent="0.2">
      <c r="D231" s="23" t="str">
        <f>Source!H135</f>
        <v>Итого с НДС</v>
      </c>
      <c r="E231" s="84" t="str">
        <f>"="&amp;Source!F133&amp;"+"&amp;""&amp;Source!F134&amp;""</f>
        <v>=688164,08+137632,82</v>
      </c>
      <c r="F231" s="85"/>
      <c r="G231" s="85"/>
      <c r="H231" s="85"/>
      <c r="I231" s="85"/>
      <c r="J231" s="85"/>
      <c r="K231" s="86">
        <f>Source!F135</f>
        <v>825796.9</v>
      </c>
      <c r="L231" s="86"/>
      <c r="AM231" s="59" t="str">
        <f>"="&amp;Source!F133&amp;"+"&amp;""&amp;Source!F134&amp;""</f>
        <v>=688164,08+137632,82</v>
      </c>
    </row>
    <row r="235" spans="1:39" ht="15" x14ac:dyDescent="0.2">
      <c r="A235" s="11"/>
      <c r="B235" s="82" t="s">
        <v>474</v>
      </c>
      <c r="C235" s="82"/>
      <c r="D235" s="71" t="str">
        <f>IF(Source!AM12&lt;&gt;"", Source!AM12," ")</f>
        <v xml:space="preserve"> </v>
      </c>
      <c r="E235" s="72"/>
      <c r="F235" s="71"/>
      <c r="G235" s="73"/>
      <c r="H235" s="72"/>
      <c r="I235" s="71" t="str">
        <f>IF(Source!AL12&lt;&gt;"", Source!AL12," ")</f>
        <v xml:space="preserve"> </v>
      </c>
      <c r="J235" s="73"/>
      <c r="K235" s="73"/>
      <c r="L235" s="73"/>
      <c r="M235" s="11"/>
    </row>
    <row r="236" spans="1:39" ht="14.25" x14ac:dyDescent="0.2">
      <c r="A236" s="11"/>
      <c r="B236" s="74"/>
      <c r="C236" s="74"/>
      <c r="D236" s="62" t="s">
        <v>439</v>
      </c>
      <c r="E236" s="74"/>
      <c r="F236" s="83" t="s">
        <v>440</v>
      </c>
      <c r="G236" s="83"/>
      <c r="H236" s="74"/>
      <c r="I236" s="83" t="s">
        <v>441</v>
      </c>
      <c r="J236" s="83"/>
      <c r="K236" s="83"/>
      <c r="L236" s="83"/>
      <c r="M236" s="11"/>
    </row>
    <row r="237" spans="1:39" ht="15" x14ac:dyDescent="0.2">
      <c r="A237" s="11"/>
      <c r="B237" s="72"/>
      <c r="C237" s="75"/>
      <c r="D237" s="72"/>
      <c r="E237" s="63"/>
      <c r="F237" s="61" t="s">
        <v>442</v>
      </c>
      <c r="G237" s="72"/>
      <c r="H237" s="72"/>
      <c r="I237" s="72"/>
      <c r="J237" s="72"/>
      <c r="K237" s="72"/>
      <c r="L237" s="72"/>
      <c r="M237" s="11"/>
    </row>
    <row r="238" spans="1:39" ht="14.25" x14ac:dyDescent="0.2">
      <c r="A238" s="11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11"/>
    </row>
    <row r="239" spans="1:39" ht="15" x14ac:dyDescent="0.2">
      <c r="A239" s="11"/>
      <c r="B239" s="82" t="s">
        <v>475</v>
      </c>
      <c r="C239" s="82"/>
      <c r="D239" s="71" t="str">
        <f>IF(Source!AI12&lt;&gt;"", Source!AI12," ")</f>
        <v xml:space="preserve"> </v>
      </c>
      <c r="E239" s="72"/>
      <c r="F239" s="71"/>
      <c r="G239" s="73"/>
      <c r="H239" s="72"/>
      <c r="I239" s="71" t="str">
        <f>IF(Source!AH12&lt;&gt;"", Source!AH12," ")</f>
        <v xml:space="preserve"> </v>
      </c>
      <c r="J239" s="73"/>
      <c r="K239" s="73"/>
      <c r="L239" s="73"/>
      <c r="M239" s="11"/>
    </row>
    <row r="240" spans="1:39" ht="14.25" x14ac:dyDescent="0.2">
      <c r="A240" s="11"/>
      <c r="B240" s="74"/>
      <c r="C240" s="74"/>
      <c r="D240" s="62" t="s">
        <v>439</v>
      </c>
      <c r="E240" s="74"/>
      <c r="F240" s="83" t="s">
        <v>440</v>
      </c>
      <c r="G240" s="83"/>
      <c r="H240" s="74"/>
      <c r="I240" s="83" t="s">
        <v>441</v>
      </c>
      <c r="J240" s="83"/>
      <c r="K240" s="83"/>
      <c r="L240" s="83"/>
      <c r="M240" s="11"/>
    </row>
    <row r="241" spans="1:13" ht="15" x14ac:dyDescent="0.2">
      <c r="A241" s="11"/>
      <c r="B241" s="72"/>
      <c r="C241" s="75"/>
      <c r="D241" s="72"/>
      <c r="E241" s="75"/>
      <c r="F241" s="61" t="s">
        <v>442</v>
      </c>
      <c r="G241" s="72"/>
      <c r="H241" s="72"/>
      <c r="I241" s="72"/>
      <c r="J241" s="72"/>
      <c r="K241" s="72"/>
      <c r="L241" s="72"/>
      <c r="M241" s="11"/>
    </row>
  </sheetData>
  <mergeCells count="139">
    <mergeCell ref="A9:B9"/>
    <mergeCell ref="C9:I9"/>
    <mergeCell ref="C10:I10"/>
    <mergeCell ref="K10:M11"/>
    <mergeCell ref="A11:B11"/>
    <mergeCell ref="C11:I11"/>
    <mergeCell ref="J2:M2"/>
    <mergeCell ref="I3:M3"/>
    <mergeCell ref="J4:M4"/>
    <mergeCell ref="K6:M6"/>
    <mergeCell ref="K7:M7"/>
    <mergeCell ref="K8:M9"/>
    <mergeCell ref="A17:B17"/>
    <mergeCell ref="C17:I17"/>
    <mergeCell ref="C18:I18"/>
    <mergeCell ref="H19:J19"/>
    <mergeCell ref="K19:M19"/>
    <mergeCell ref="C12:I12"/>
    <mergeCell ref="K12:M13"/>
    <mergeCell ref="A13:B13"/>
    <mergeCell ref="C13:I13"/>
    <mergeCell ref="C14:I14"/>
    <mergeCell ref="K14:M15"/>
    <mergeCell ref="A15:B15"/>
    <mergeCell ref="C15:I15"/>
    <mergeCell ref="H20:I20"/>
    <mergeCell ref="K20:M20"/>
    <mergeCell ref="K21:M21"/>
    <mergeCell ref="K22:M22"/>
    <mergeCell ref="G24:G25"/>
    <mergeCell ref="H24:H25"/>
    <mergeCell ref="I24:J24"/>
    <mergeCell ref="C16:I16"/>
    <mergeCell ref="K16:M17"/>
    <mergeCell ref="M32:M33"/>
    <mergeCell ref="H43:I43"/>
    <mergeCell ref="K43:L43"/>
    <mergeCell ref="B28:M28"/>
    <mergeCell ref="B29:M29"/>
    <mergeCell ref="A31:M31"/>
    <mergeCell ref="A32:B32"/>
    <mergeCell ref="C32:C33"/>
    <mergeCell ref="D32:D33"/>
    <mergeCell ref="E32:E33"/>
    <mergeCell ref="F32:F33"/>
    <mergeCell ref="G32:G33"/>
    <mergeCell ref="H32:H33"/>
    <mergeCell ref="H50:I50"/>
    <mergeCell ref="K50:L50"/>
    <mergeCell ref="H57:I57"/>
    <mergeCell ref="K57:L57"/>
    <mergeCell ref="H64:I64"/>
    <mergeCell ref="K64:L64"/>
    <mergeCell ref="I32:I33"/>
    <mergeCell ref="J32:J33"/>
    <mergeCell ref="K32:K33"/>
    <mergeCell ref="L32:L33"/>
    <mergeCell ref="H104:I104"/>
    <mergeCell ref="K104:L104"/>
    <mergeCell ref="H114:I114"/>
    <mergeCell ref="K114:L114"/>
    <mergeCell ref="H125:I125"/>
    <mergeCell ref="K125:L125"/>
    <mergeCell ref="H73:I73"/>
    <mergeCell ref="K73:L73"/>
    <mergeCell ref="H82:I82"/>
    <mergeCell ref="K82:L82"/>
    <mergeCell ref="H93:I93"/>
    <mergeCell ref="K93:L93"/>
    <mergeCell ref="H163:I163"/>
    <mergeCell ref="K163:L163"/>
    <mergeCell ref="H169:I169"/>
    <mergeCell ref="K169:L169"/>
    <mergeCell ref="H172:I172"/>
    <mergeCell ref="K172:L172"/>
    <mergeCell ref="H136:I136"/>
    <mergeCell ref="K136:L136"/>
    <mergeCell ref="H146:I146"/>
    <mergeCell ref="K146:L146"/>
    <mergeCell ref="H154:I154"/>
    <mergeCell ref="K154:L154"/>
    <mergeCell ref="H184:I184"/>
    <mergeCell ref="K184:L184"/>
    <mergeCell ref="H187:I187"/>
    <mergeCell ref="K187:L187"/>
    <mergeCell ref="H190:I190"/>
    <mergeCell ref="K190:L190"/>
    <mergeCell ref="H175:I175"/>
    <mergeCell ref="K175:L175"/>
    <mergeCell ref="H178:I178"/>
    <mergeCell ref="K178:L178"/>
    <mergeCell ref="H181:I181"/>
    <mergeCell ref="K181:L181"/>
    <mergeCell ref="H202:I202"/>
    <mergeCell ref="K202:L202"/>
    <mergeCell ref="H205:I205"/>
    <mergeCell ref="K205:L205"/>
    <mergeCell ref="H208:I208"/>
    <mergeCell ref="K208:L208"/>
    <mergeCell ref="H193:I193"/>
    <mergeCell ref="K193:L193"/>
    <mergeCell ref="H196:I196"/>
    <mergeCell ref="K196:L196"/>
    <mergeCell ref="H199:I199"/>
    <mergeCell ref="K199:L199"/>
    <mergeCell ref="K215:L215"/>
    <mergeCell ref="K216:L216"/>
    <mergeCell ref="E217:J217"/>
    <mergeCell ref="K217:L217"/>
    <mergeCell ref="E218:J218"/>
    <mergeCell ref="K218:L218"/>
    <mergeCell ref="A210:G210"/>
    <mergeCell ref="K210:L210"/>
    <mergeCell ref="H210:I210"/>
    <mergeCell ref="K212:L212"/>
    <mergeCell ref="K213:L213"/>
    <mergeCell ref="K214:L214"/>
    <mergeCell ref="K225:L225"/>
    <mergeCell ref="K226:L226"/>
    <mergeCell ref="K227:L227"/>
    <mergeCell ref="K228:L228"/>
    <mergeCell ref="E229:J229"/>
    <mergeCell ref="K229:L229"/>
    <mergeCell ref="E219:J219"/>
    <mergeCell ref="K219:L219"/>
    <mergeCell ref="A222:G222"/>
    <mergeCell ref="K222:L222"/>
    <mergeCell ref="H222:I222"/>
    <mergeCell ref="K224:L224"/>
    <mergeCell ref="B239:C239"/>
    <mergeCell ref="F240:G240"/>
    <mergeCell ref="I240:L240"/>
    <mergeCell ref="E230:J230"/>
    <mergeCell ref="K230:L230"/>
    <mergeCell ref="E231:J231"/>
    <mergeCell ref="K231:L231"/>
    <mergeCell ref="B235:C235"/>
    <mergeCell ref="F236:G236"/>
    <mergeCell ref="I236:L236"/>
  </mergeCells>
  <pageMargins left="0.4" right="0.2" top="0.2" bottom="0.4" header="0.2" footer="0.2"/>
  <pageSetup paperSize="9" scale="55" orientation="portrait" r:id="rId1"/>
  <headerFooter>
    <oddHeader>&amp;L&amp;8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zoomScaleNormal="100" workbookViewId="0">
      <selection sqref="A1:D1"/>
    </sheetView>
  </sheetViews>
  <sheetFormatPr defaultRowHeight="12.75" x14ac:dyDescent="0.2"/>
  <cols>
    <col min="1" max="1" width="5.7109375" customWidth="1"/>
    <col min="2" max="2" width="22.7109375" customWidth="1"/>
    <col min="10" max="11" width="11.140625" customWidth="1"/>
  </cols>
  <sheetData>
    <row r="1" spans="1:12" ht="14.25" x14ac:dyDescent="0.2">
      <c r="A1" s="168" t="str">
        <f>Source!B1</f>
        <v>Smeta.RU  (495) 974-1589</v>
      </c>
      <c r="B1" s="168"/>
      <c r="C1" s="168"/>
      <c r="D1" s="168"/>
      <c r="E1" s="11"/>
      <c r="F1" s="11"/>
      <c r="G1" s="11"/>
      <c r="H1" s="169" t="s">
        <v>476</v>
      </c>
      <c r="I1" s="169"/>
      <c r="J1" s="169"/>
      <c r="K1" s="169"/>
      <c r="L1" s="169"/>
    </row>
    <row r="2" spans="1:12" ht="14.25" x14ac:dyDescent="0.2">
      <c r="A2" s="11"/>
      <c r="B2" s="11"/>
      <c r="C2" s="11"/>
      <c r="D2" s="11"/>
      <c r="E2" s="11"/>
      <c r="F2" s="11"/>
      <c r="G2" s="11"/>
      <c r="H2" s="169" t="s">
        <v>445</v>
      </c>
      <c r="I2" s="169"/>
      <c r="J2" s="169"/>
      <c r="K2" s="169"/>
      <c r="L2" s="169"/>
    </row>
    <row r="3" spans="1:12" ht="14.25" x14ac:dyDescent="0.2">
      <c r="A3" s="11"/>
      <c r="B3" s="11"/>
      <c r="C3" s="11"/>
      <c r="D3" s="11"/>
      <c r="E3" s="11"/>
      <c r="F3" s="11"/>
      <c r="G3" s="11"/>
      <c r="H3" s="169" t="s">
        <v>446</v>
      </c>
      <c r="I3" s="169"/>
      <c r="J3" s="169"/>
      <c r="K3" s="169"/>
      <c r="L3" s="169"/>
    </row>
    <row r="4" spans="1:12" ht="14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30" t="s">
        <v>477</v>
      </c>
      <c r="L4" s="132"/>
    </row>
    <row r="5" spans="1:12" ht="14.25" x14ac:dyDescent="0.2">
      <c r="A5" s="11"/>
      <c r="B5" s="11"/>
      <c r="C5" s="11"/>
      <c r="D5" s="11"/>
      <c r="E5" s="11"/>
      <c r="F5" s="11"/>
      <c r="G5" s="11"/>
      <c r="H5" s="11"/>
      <c r="I5" s="89" t="s">
        <v>448</v>
      </c>
      <c r="J5" s="89"/>
      <c r="K5" s="130">
        <v>322001</v>
      </c>
      <c r="L5" s="132"/>
    </row>
    <row r="6" spans="1:12" ht="14.25" x14ac:dyDescent="0.2">
      <c r="A6" s="89" t="s">
        <v>478</v>
      </c>
      <c r="B6" s="89"/>
      <c r="C6" s="165"/>
      <c r="D6" s="165"/>
      <c r="E6" s="165"/>
      <c r="F6" s="165"/>
      <c r="G6" s="165"/>
      <c r="H6" s="165"/>
      <c r="I6" s="165"/>
      <c r="J6" s="10" t="s">
        <v>451</v>
      </c>
      <c r="K6" s="130"/>
      <c r="L6" s="132"/>
    </row>
    <row r="7" spans="1:12" ht="14.25" x14ac:dyDescent="0.2">
      <c r="A7" s="11"/>
      <c r="B7" s="11"/>
      <c r="C7" s="163" t="s">
        <v>452</v>
      </c>
      <c r="D7" s="163"/>
      <c r="E7" s="163"/>
      <c r="F7" s="163"/>
      <c r="G7" s="163"/>
      <c r="H7" s="163"/>
      <c r="I7" s="163"/>
      <c r="J7" s="11"/>
      <c r="K7" s="66"/>
      <c r="L7" s="76"/>
    </row>
    <row r="8" spans="1:12" ht="14.25" x14ac:dyDescent="0.2">
      <c r="A8" s="89" t="s">
        <v>479</v>
      </c>
      <c r="B8" s="89"/>
      <c r="C8" s="165"/>
      <c r="D8" s="165"/>
      <c r="E8" s="165"/>
      <c r="F8" s="165"/>
      <c r="G8" s="165"/>
      <c r="H8" s="165"/>
      <c r="I8" s="77"/>
      <c r="J8" s="10" t="s">
        <v>451</v>
      </c>
      <c r="K8" s="166"/>
      <c r="L8" s="167"/>
    </row>
    <row r="9" spans="1:12" ht="14.25" x14ac:dyDescent="0.2">
      <c r="A9" s="11"/>
      <c r="B9" s="11"/>
      <c r="C9" s="163" t="s">
        <v>452</v>
      </c>
      <c r="D9" s="163"/>
      <c r="E9" s="163"/>
      <c r="F9" s="163"/>
      <c r="G9" s="163"/>
      <c r="H9" s="163"/>
      <c r="I9" s="163"/>
      <c r="J9" s="11"/>
      <c r="K9" s="66"/>
      <c r="L9" s="76"/>
    </row>
    <row r="10" spans="1:12" ht="14.25" x14ac:dyDescent="0.2">
      <c r="A10" s="89" t="s">
        <v>480</v>
      </c>
      <c r="B10" s="89"/>
      <c r="C10" s="165"/>
      <c r="D10" s="165"/>
      <c r="E10" s="165"/>
      <c r="F10" s="165"/>
      <c r="G10" s="165"/>
      <c r="H10" s="165"/>
      <c r="I10" s="165"/>
      <c r="J10" s="10" t="s">
        <v>451</v>
      </c>
      <c r="K10" s="166"/>
      <c r="L10" s="167"/>
    </row>
    <row r="11" spans="1:12" ht="14.25" x14ac:dyDescent="0.2">
      <c r="A11" s="11"/>
      <c r="B11" s="11"/>
      <c r="C11" s="163" t="s">
        <v>452</v>
      </c>
      <c r="D11" s="163"/>
      <c r="E11" s="163"/>
      <c r="F11" s="163"/>
      <c r="G11" s="163"/>
      <c r="H11" s="163"/>
      <c r="I11" s="163"/>
      <c r="J11" s="11"/>
      <c r="K11" s="66"/>
      <c r="L11" s="76"/>
    </row>
    <row r="12" spans="1:12" ht="14.25" x14ac:dyDescent="0.2">
      <c r="A12" s="89" t="s">
        <v>481</v>
      </c>
      <c r="B12" s="89"/>
      <c r="C12" s="165"/>
      <c r="D12" s="165"/>
      <c r="E12" s="165"/>
      <c r="F12" s="165"/>
      <c r="G12" s="165"/>
      <c r="H12" s="165"/>
      <c r="I12" s="165"/>
      <c r="J12" s="10" t="s">
        <v>451</v>
      </c>
      <c r="K12" s="166"/>
      <c r="L12" s="167"/>
    </row>
    <row r="13" spans="1:12" ht="14.25" x14ac:dyDescent="0.2">
      <c r="A13" s="11"/>
      <c r="B13" s="11"/>
      <c r="C13" s="163" t="s">
        <v>456</v>
      </c>
      <c r="D13" s="163"/>
      <c r="E13" s="163"/>
      <c r="F13" s="163"/>
      <c r="G13" s="163"/>
      <c r="H13" s="89" t="s">
        <v>482</v>
      </c>
      <c r="I13" s="89"/>
      <c r="J13" s="101"/>
      <c r="K13" s="130"/>
      <c r="L13" s="132"/>
    </row>
    <row r="14" spans="1:12" ht="14.25" x14ac:dyDescent="0.2">
      <c r="A14" s="11"/>
      <c r="B14" s="11"/>
      <c r="C14" s="11"/>
      <c r="D14" s="11"/>
      <c r="E14" s="89" t="s">
        <v>483</v>
      </c>
      <c r="F14" s="89"/>
      <c r="G14" s="89"/>
      <c r="H14" s="89"/>
      <c r="I14" s="164" t="s">
        <v>461</v>
      </c>
      <c r="J14" s="122"/>
      <c r="K14" s="130"/>
      <c r="L14" s="132"/>
    </row>
    <row r="15" spans="1:12" ht="14.25" x14ac:dyDescent="0.2">
      <c r="A15" s="11"/>
      <c r="B15" s="11"/>
      <c r="C15" s="11"/>
      <c r="D15" s="11"/>
      <c r="E15" s="11"/>
      <c r="F15" s="11"/>
      <c r="G15" s="11"/>
      <c r="H15" s="11"/>
      <c r="I15" s="148" t="s">
        <v>462</v>
      </c>
      <c r="J15" s="149"/>
      <c r="K15" s="150"/>
      <c r="L15" s="151"/>
    </row>
    <row r="16" spans="1:12" ht="14.25" x14ac:dyDescent="0.2">
      <c r="A16" s="11"/>
      <c r="B16" s="11"/>
      <c r="C16" s="11"/>
      <c r="D16" s="11"/>
      <c r="E16" s="11"/>
      <c r="F16" s="11"/>
      <c r="G16" s="11"/>
      <c r="H16" s="11"/>
      <c r="I16" s="122" t="s">
        <v>484</v>
      </c>
      <c r="J16" s="122"/>
      <c r="K16" s="152"/>
      <c r="L16" s="153"/>
    </row>
    <row r="17" spans="1:12" ht="14.25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4.25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4.25" x14ac:dyDescent="0.2">
      <c r="A19" s="11"/>
      <c r="B19" s="11"/>
      <c r="C19" s="154" t="s">
        <v>464</v>
      </c>
      <c r="D19" s="155"/>
      <c r="E19" s="154" t="s">
        <v>465</v>
      </c>
      <c r="F19" s="158"/>
      <c r="G19" s="11"/>
      <c r="H19" s="11"/>
      <c r="I19" s="154" t="s">
        <v>466</v>
      </c>
      <c r="J19" s="155"/>
      <c r="K19" s="155"/>
      <c r="L19" s="158"/>
    </row>
    <row r="20" spans="1:12" ht="14.25" x14ac:dyDescent="0.2">
      <c r="A20" s="11"/>
      <c r="B20" s="11"/>
      <c r="C20" s="156"/>
      <c r="D20" s="157"/>
      <c r="E20" s="156"/>
      <c r="F20" s="159"/>
      <c r="G20" s="11"/>
      <c r="H20" s="11"/>
      <c r="I20" s="160" t="s">
        <v>467</v>
      </c>
      <c r="J20" s="161"/>
      <c r="K20" s="160" t="s">
        <v>468</v>
      </c>
      <c r="L20" s="162"/>
    </row>
    <row r="21" spans="1:12" ht="14.25" x14ac:dyDescent="0.2">
      <c r="A21" s="11"/>
      <c r="B21" s="11"/>
      <c r="C21" s="143"/>
      <c r="D21" s="144"/>
      <c r="E21" s="145"/>
      <c r="F21" s="146"/>
      <c r="G21" s="78"/>
      <c r="H21" s="78"/>
      <c r="I21" s="145"/>
      <c r="J21" s="147"/>
      <c r="K21" s="145"/>
      <c r="L21" s="146"/>
    </row>
    <row r="22" spans="1:12" ht="14.2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4.2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8" x14ac:dyDescent="0.25">
      <c r="A24" s="99" t="s">
        <v>485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</row>
    <row r="25" spans="1:12" ht="18" x14ac:dyDescent="0.25">
      <c r="A25" s="99" t="s">
        <v>486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</row>
    <row r="26" spans="1:12" ht="14.25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4.25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4.25" x14ac:dyDescent="0.2">
      <c r="A28" s="137" t="s">
        <v>405</v>
      </c>
      <c r="B28" s="137" t="s">
        <v>487</v>
      </c>
      <c r="C28" s="139"/>
      <c r="D28" s="139"/>
      <c r="E28" s="139"/>
      <c r="F28" s="137" t="s">
        <v>447</v>
      </c>
      <c r="G28" s="137" t="s">
        <v>488</v>
      </c>
      <c r="H28" s="139"/>
      <c r="I28" s="139"/>
      <c r="J28" s="139"/>
      <c r="K28" s="139"/>
      <c r="L28" s="141"/>
    </row>
    <row r="29" spans="1:12" x14ac:dyDescent="0.2">
      <c r="A29" s="138"/>
      <c r="B29" s="138"/>
      <c r="C29" s="140"/>
      <c r="D29" s="140"/>
      <c r="E29" s="140"/>
      <c r="F29" s="138"/>
      <c r="G29" s="137" t="s">
        <v>489</v>
      </c>
      <c r="H29" s="139"/>
      <c r="I29" s="137" t="s">
        <v>490</v>
      </c>
      <c r="J29" s="139"/>
      <c r="K29" s="137" t="s">
        <v>491</v>
      </c>
      <c r="L29" s="141"/>
    </row>
    <row r="30" spans="1:12" x14ac:dyDescent="0.2">
      <c r="A30" s="138"/>
      <c r="B30" s="138"/>
      <c r="C30" s="140"/>
      <c r="D30" s="140"/>
      <c r="E30" s="140"/>
      <c r="F30" s="138"/>
      <c r="G30" s="138"/>
      <c r="H30" s="140"/>
      <c r="I30" s="138"/>
      <c r="J30" s="140"/>
      <c r="K30" s="138"/>
      <c r="L30" s="142"/>
    </row>
    <row r="31" spans="1:12" x14ac:dyDescent="0.2">
      <c r="A31" s="138"/>
      <c r="B31" s="138"/>
      <c r="C31" s="140"/>
      <c r="D31" s="140"/>
      <c r="E31" s="140"/>
      <c r="F31" s="138"/>
      <c r="G31" s="138"/>
      <c r="H31" s="140"/>
      <c r="I31" s="138"/>
      <c r="J31" s="140"/>
      <c r="K31" s="138"/>
      <c r="L31" s="142"/>
    </row>
    <row r="32" spans="1:12" x14ac:dyDescent="0.2">
      <c r="A32" s="138"/>
      <c r="B32" s="138"/>
      <c r="C32" s="140"/>
      <c r="D32" s="140"/>
      <c r="E32" s="140"/>
      <c r="F32" s="138"/>
      <c r="G32" s="138"/>
      <c r="H32" s="140"/>
      <c r="I32" s="138"/>
      <c r="J32" s="140"/>
      <c r="K32" s="138"/>
      <c r="L32" s="142"/>
    </row>
    <row r="33" spans="1:12" ht="14.25" x14ac:dyDescent="0.2">
      <c r="A33" s="66">
        <v>1</v>
      </c>
      <c r="B33" s="130">
        <v>2</v>
      </c>
      <c r="C33" s="131"/>
      <c r="D33" s="131"/>
      <c r="E33" s="131"/>
      <c r="F33" s="66">
        <v>3</v>
      </c>
      <c r="G33" s="130">
        <v>4</v>
      </c>
      <c r="H33" s="131"/>
      <c r="I33" s="130">
        <v>5</v>
      </c>
      <c r="J33" s="131"/>
      <c r="K33" s="130">
        <v>6</v>
      </c>
      <c r="L33" s="132"/>
    </row>
    <row r="34" spans="1:12" ht="14.25" x14ac:dyDescent="0.2">
      <c r="A34" s="79"/>
      <c r="B34" s="133" t="s">
        <v>492</v>
      </c>
      <c r="C34" s="120"/>
      <c r="D34" s="120"/>
      <c r="E34" s="120"/>
      <c r="F34" s="80"/>
      <c r="G34" s="134"/>
      <c r="H34" s="135"/>
      <c r="I34" s="134"/>
      <c r="J34" s="135"/>
      <c r="K34" s="134"/>
      <c r="L34" s="136"/>
    </row>
    <row r="35" spans="1:12" ht="14.25" x14ac:dyDescent="0.2">
      <c r="A35" s="81"/>
      <c r="B35" s="118" t="s">
        <v>493</v>
      </c>
      <c r="C35" s="119"/>
      <c r="D35" s="119"/>
      <c r="E35" s="119"/>
      <c r="F35" s="119"/>
      <c r="G35" s="119"/>
      <c r="H35" s="119"/>
      <c r="I35" s="119"/>
      <c r="J35" s="119"/>
      <c r="K35" s="120"/>
      <c r="L35" s="121"/>
    </row>
    <row r="36" spans="1:12" ht="14.25" x14ac:dyDescent="0.2">
      <c r="A36" s="122" t="s">
        <v>494</v>
      </c>
      <c r="B36" s="122"/>
      <c r="C36" s="122"/>
      <c r="D36" s="122"/>
      <c r="E36" s="122"/>
      <c r="F36" s="122"/>
      <c r="G36" s="122"/>
      <c r="H36" s="122"/>
      <c r="I36" s="122"/>
      <c r="J36" s="123"/>
      <c r="K36" s="124"/>
      <c r="L36" s="123"/>
    </row>
    <row r="37" spans="1:12" ht="14.25" x14ac:dyDescent="0.2">
      <c r="A37" s="125" t="s">
        <v>495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6"/>
      <c r="L37" s="127"/>
    </row>
    <row r="38" spans="1:12" ht="14.25" x14ac:dyDescent="0.2">
      <c r="A38" s="125" t="s">
        <v>496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8"/>
      <c r="L38" s="129"/>
    </row>
    <row r="39" spans="1:12" ht="14.25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2" spans="1:12" ht="14.25" x14ac:dyDescent="0.2">
      <c r="A42" s="115" t="s">
        <v>479</v>
      </c>
      <c r="B42" s="115"/>
      <c r="C42" s="116"/>
      <c r="D42" s="116"/>
      <c r="E42" s="116"/>
      <c r="F42" s="11"/>
      <c r="G42" s="116"/>
      <c r="H42" s="116"/>
      <c r="I42" s="11"/>
      <c r="J42" s="116"/>
      <c r="K42" s="116"/>
      <c r="L42" s="116"/>
    </row>
    <row r="43" spans="1:12" ht="14.25" x14ac:dyDescent="0.2">
      <c r="A43" s="11"/>
      <c r="B43" s="11"/>
      <c r="C43" s="117" t="s">
        <v>497</v>
      </c>
      <c r="D43" s="117"/>
      <c r="E43" s="117"/>
      <c r="F43" s="11"/>
      <c r="G43" s="117" t="s">
        <v>498</v>
      </c>
      <c r="H43" s="117"/>
      <c r="I43" s="11"/>
      <c r="J43" s="117" t="s">
        <v>499</v>
      </c>
      <c r="K43" s="117"/>
      <c r="L43" s="117"/>
    </row>
    <row r="44" spans="1:12" ht="14.25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14.25" x14ac:dyDescent="0.2">
      <c r="A45" s="10" t="s">
        <v>500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4.25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4.25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4.25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4.25" x14ac:dyDescent="0.2">
      <c r="A49" s="115" t="s">
        <v>480</v>
      </c>
      <c r="B49" s="115"/>
      <c r="C49" s="116"/>
      <c r="D49" s="116"/>
      <c r="E49" s="116"/>
      <c r="F49" s="11"/>
      <c r="G49" s="116"/>
      <c r="H49" s="116"/>
      <c r="I49" s="11"/>
      <c r="J49" s="116"/>
      <c r="K49" s="116"/>
      <c r="L49" s="116"/>
    </row>
    <row r="50" spans="1:12" ht="14.25" x14ac:dyDescent="0.2">
      <c r="A50" s="11"/>
      <c r="B50" s="11"/>
      <c r="C50" s="117" t="s">
        <v>497</v>
      </c>
      <c r="D50" s="117"/>
      <c r="E50" s="117"/>
      <c r="F50" s="11"/>
      <c r="G50" s="117" t="s">
        <v>498</v>
      </c>
      <c r="H50" s="117"/>
      <c r="I50" s="11"/>
      <c r="J50" s="117" t="s">
        <v>499</v>
      </c>
      <c r="K50" s="117"/>
      <c r="L50" s="117"/>
    </row>
    <row r="51" spans="1:12" ht="14.25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4.25" x14ac:dyDescent="0.2">
      <c r="A52" s="10" t="s">
        <v>500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</sheetData>
  <mergeCells count="79">
    <mergeCell ref="I5:J5"/>
    <mergeCell ref="K5:L5"/>
    <mergeCell ref="A1:D1"/>
    <mergeCell ref="H1:L1"/>
    <mergeCell ref="H2:L2"/>
    <mergeCell ref="H3:L3"/>
    <mergeCell ref="K4:L4"/>
    <mergeCell ref="A12:B12"/>
    <mergeCell ref="C12:I12"/>
    <mergeCell ref="K12:L12"/>
    <mergeCell ref="A6:B6"/>
    <mergeCell ref="C6:I6"/>
    <mergeCell ref="K6:L6"/>
    <mergeCell ref="C7:I7"/>
    <mergeCell ref="A8:B8"/>
    <mergeCell ref="C8:H8"/>
    <mergeCell ref="K8:L8"/>
    <mergeCell ref="C9:I9"/>
    <mergeCell ref="A10:B10"/>
    <mergeCell ref="C10:I10"/>
    <mergeCell ref="K10:L10"/>
    <mergeCell ref="C11:I11"/>
    <mergeCell ref="C13:G13"/>
    <mergeCell ref="H13:J13"/>
    <mergeCell ref="K13:L13"/>
    <mergeCell ref="E14:H14"/>
    <mergeCell ref="I14:J14"/>
    <mergeCell ref="K14:L14"/>
    <mergeCell ref="A25:L25"/>
    <mergeCell ref="I15:J15"/>
    <mergeCell ref="K15:L15"/>
    <mergeCell ref="I16:J16"/>
    <mergeCell ref="K16:L16"/>
    <mergeCell ref="C19:D20"/>
    <mergeCell ref="E19:F20"/>
    <mergeCell ref="I19:L19"/>
    <mergeCell ref="I20:J20"/>
    <mergeCell ref="K20:L20"/>
    <mergeCell ref="C21:D21"/>
    <mergeCell ref="E21:F21"/>
    <mergeCell ref="I21:J21"/>
    <mergeCell ref="K21:L21"/>
    <mergeCell ref="A24:L24"/>
    <mergeCell ref="A28:A32"/>
    <mergeCell ref="B28:E32"/>
    <mergeCell ref="F28:F32"/>
    <mergeCell ref="G28:L28"/>
    <mergeCell ref="G29:H32"/>
    <mergeCell ref="I29:J32"/>
    <mergeCell ref="K29:L32"/>
    <mergeCell ref="A38:J38"/>
    <mergeCell ref="K38:L38"/>
    <mergeCell ref="B33:E33"/>
    <mergeCell ref="G33:H33"/>
    <mergeCell ref="I33:J33"/>
    <mergeCell ref="K33:L33"/>
    <mergeCell ref="B34:E34"/>
    <mergeCell ref="G34:H34"/>
    <mergeCell ref="I34:J34"/>
    <mergeCell ref="K34:L34"/>
    <mergeCell ref="B35:L35"/>
    <mergeCell ref="A36:J36"/>
    <mergeCell ref="K36:L36"/>
    <mergeCell ref="A37:J37"/>
    <mergeCell ref="K37:L37"/>
    <mergeCell ref="A42:B42"/>
    <mergeCell ref="C42:E42"/>
    <mergeCell ref="G42:H42"/>
    <mergeCell ref="J42:L42"/>
    <mergeCell ref="C43:E43"/>
    <mergeCell ref="G43:H43"/>
    <mergeCell ref="J43:L43"/>
    <mergeCell ref="A49:B49"/>
    <mergeCell ref="C49:E49"/>
    <mergeCell ref="G49:H49"/>
    <mergeCell ref="J49:L49"/>
    <mergeCell ref="C50:E50"/>
    <mergeCell ref="G50:H50"/>
    <mergeCell ref="J50:L50"/>
  </mergeCells>
  <pageMargins left="0.4" right="0.2" top="0.2" bottom="0.4" header="0.2" footer="0.2"/>
  <pageSetup paperSize="9" scale="80" fitToHeight="0" orientation="portrait" r:id="rId1"/>
  <headerFooter>
    <oddHeader>&amp;L&amp;8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70"/>
  <sheetViews>
    <sheetView workbookViewId="0">
      <selection activeCell="A166" sqref="A166:AX166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73111</v>
      </c>
      <c r="M1">
        <v>10</v>
      </c>
      <c r="N1">
        <v>11</v>
      </c>
      <c r="O1">
        <v>8</v>
      </c>
      <c r="P1">
        <v>0</v>
      </c>
      <c r="Q1">
        <v>0</v>
      </c>
    </row>
    <row r="12" spans="1:133" x14ac:dyDescent="0.2">
      <c r="A12" s="1">
        <v>1</v>
      </c>
      <c r="B12" s="1">
        <v>165</v>
      </c>
      <c r="C12" s="1">
        <v>0</v>
      </c>
      <c r="D12" s="1">
        <f>ROW(A99)</f>
        <v>99</v>
      </c>
      <c r="E12" s="1">
        <v>0</v>
      </c>
      <c r="F12" s="1" t="s">
        <v>3</v>
      </c>
      <c r="G12" s="1" t="s">
        <v>4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3</v>
      </c>
      <c r="N12" s="1"/>
      <c r="O12" s="1">
        <v>0</v>
      </c>
      <c r="P12" s="1">
        <v>0</v>
      </c>
      <c r="Q12" s="1">
        <v>2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5</v>
      </c>
      <c r="BI12" s="1" t="s">
        <v>6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7</v>
      </c>
      <c r="BZ12" s="1" t="s">
        <v>8</v>
      </c>
      <c r="CA12" s="1" t="s">
        <v>7</v>
      </c>
      <c r="CB12" s="1" t="s">
        <v>7</v>
      </c>
      <c r="CC12" s="1" t="s">
        <v>7</v>
      </c>
      <c r="CD12" s="1" t="s">
        <v>7</v>
      </c>
      <c r="CE12" s="1" t="s">
        <v>9</v>
      </c>
      <c r="CF12" s="1">
        <v>0</v>
      </c>
      <c r="CG12" s="1">
        <v>0</v>
      </c>
      <c r="CH12" s="1">
        <v>18882568</v>
      </c>
      <c r="CI12" s="1" t="s">
        <v>3</v>
      </c>
      <c r="CJ12" s="1" t="s">
        <v>3</v>
      </c>
      <c r="CK12" s="1">
        <v>0</v>
      </c>
      <c r="CL12" s="1"/>
      <c r="CM12" s="1"/>
      <c r="CN12" s="1"/>
      <c r="CO12" s="1"/>
      <c r="CP12" s="1"/>
      <c r="CQ12" s="1" t="s">
        <v>10</v>
      </c>
      <c r="CR12" s="1" t="s">
        <v>11</v>
      </c>
      <c r="CS12" s="1">
        <v>42130</v>
      </c>
      <c r="CT12" s="1">
        <v>246</v>
      </c>
      <c r="CU12" s="1"/>
      <c r="CV12" s="1"/>
      <c r="CW12" s="1"/>
      <c r="CX12" s="1"/>
      <c r="CY12" s="1">
        <v>0</v>
      </c>
      <c r="CZ12" s="1" t="s">
        <v>3</v>
      </c>
      <c r="DA12" s="1" t="s">
        <v>3</v>
      </c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B99</f>
        <v>165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/>
      </c>
      <c r="G18" s="2" t="str">
        <f t="shared" si="0"/>
        <v>Строительство КЛ-0,4 кВ от ТП-6/0,4 кВ до ВРУ-0,4 кВ многоквартирного жилого дома поз.5 в микрорайоне "Акварель", г. Чебоксары, к.н. 21:01:010901:3323</v>
      </c>
      <c r="H18" s="2"/>
      <c r="I18" s="2"/>
      <c r="J18" s="2"/>
      <c r="K18" s="2"/>
      <c r="L18" s="2"/>
      <c r="M18" s="2"/>
      <c r="N18" s="2"/>
      <c r="O18" s="2">
        <f t="shared" ref="O18:AT18" si="1">O99</f>
        <v>627893.87</v>
      </c>
      <c r="P18" s="2">
        <f t="shared" si="1"/>
        <v>578048.03</v>
      </c>
      <c r="Q18" s="2">
        <f t="shared" si="1"/>
        <v>8341.85</v>
      </c>
      <c r="R18" s="2">
        <f t="shared" si="1"/>
        <v>841.23</v>
      </c>
      <c r="S18" s="2">
        <f t="shared" si="1"/>
        <v>41503.99</v>
      </c>
      <c r="T18" s="2">
        <f t="shared" si="1"/>
        <v>0</v>
      </c>
      <c r="U18" s="2">
        <f t="shared" si="1"/>
        <v>143.12730480000002</v>
      </c>
      <c r="V18" s="2">
        <f t="shared" si="1"/>
        <v>2.3238483999999997</v>
      </c>
      <c r="W18" s="2">
        <f t="shared" si="1"/>
        <v>0</v>
      </c>
      <c r="X18" s="2">
        <f t="shared" si="1"/>
        <v>39788.71</v>
      </c>
      <c r="Y18" s="2">
        <f t="shared" si="1"/>
        <v>20481.5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688164.08</v>
      </c>
      <c r="AS18" s="2">
        <f t="shared" si="1"/>
        <v>597955.9</v>
      </c>
      <c r="AT18" s="2">
        <f t="shared" si="1"/>
        <v>82973.789999999994</v>
      </c>
      <c r="AU18" s="2">
        <f t="shared" ref="AU18:BZ18" si="2">AU99</f>
        <v>7234.39</v>
      </c>
      <c r="AV18" s="2">
        <f t="shared" si="2"/>
        <v>578048.03</v>
      </c>
      <c r="AW18" s="2">
        <f t="shared" si="2"/>
        <v>578048.03</v>
      </c>
      <c r="AX18" s="2">
        <f t="shared" si="2"/>
        <v>0</v>
      </c>
      <c r="AY18" s="2">
        <f t="shared" si="2"/>
        <v>578048.03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CA99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DG99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EM99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FS99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ROW(A61)</f>
        <v>61</v>
      </c>
      <c r="E20" s="1"/>
      <c r="F20" s="1" t="s">
        <v>3</v>
      </c>
      <c r="G20" s="1" t="s">
        <v>12</v>
      </c>
      <c r="H20" s="1" t="s">
        <v>3</v>
      </c>
      <c r="I20" s="1">
        <v>0</v>
      </c>
      <c r="J20" s="1" t="s">
        <v>3</v>
      </c>
      <c r="K20" s="1">
        <v>0</v>
      </c>
      <c r="L20" s="1" t="s">
        <v>12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 x14ac:dyDescent="0.2">
      <c r="A22" s="2">
        <v>52</v>
      </c>
      <c r="B22" s="2">
        <f t="shared" ref="B22:G22" si="7">B61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/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O61</f>
        <v>627893.87</v>
      </c>
      <c r="P22" s="2">
        <f t="shared" si="8"/>
        <v>578048.03</v>
      </c>
      <c r="Q22" s="2">
        <f t="shared" si="8"/>
        <v>8341.85</v>
      </c>
      <c r="R22" s="2">
        <f t="shared" si="8"/>
        <v>841.23</v>
      </c>
      <c r="S22" s="2">
        <f t="shared" si="8"/>
        <v>41503.99</v>
      </c>
      <c r="T22" s="2">
        <f t="shared" si="8"/>
        <v>0</v>
      </c>
      <c r="U22" s="2">
        <f t="shared" si="8"/>
        <v>143.12730480000002</v>
      </c>
      <c r="V22" s="2">
        <f t="shared" si="8"/>
        <v>2.3238483999999997</v>
      </c>
      <c r="W22" s="2">
        <f t="shared" si="8"/>
        <v>0</v>
      </c>
      <c r="X22" s="2">
        <f t="shared" si="8"/>
        <v>39788.71</v>
      </c>
      <c r="Y22" s="2">
        <f t="shared" si="8"/>
        <v>20481.5</v>
      </c>
      <c r="Z22" s="2">
        <f t="shared" si="8"/>
        <v>0</v>
      </c>
      <c r="AA22" s="2">
        <f t="shared" si="8"/>
        <v>0</v>
      </c>
      <c r="AB22" s="2">
        <f t="shared" si="8"/>
        <v>627893.87</v>
      </c>
      <c r="AC22" s="2">
        <f t="shared" si="8"/>
        <v>578048.03</v>
      </c>
      <c r="AD22" s="2">
        <f t="shared" si="8"/>
        <v>8341.85</v>
      </c>
      <c r="AE22" s="2">
        <f t="shared" si="8"/>
        <v>841.23</v>
      </c>
      <c r="AF22" s="2">
        <f t="shared" si="8"/>
        <v>41503.99</v>
      </c>
      <c r="AG22" s="2">
        <f t="shared" si="8"/>
        <v>0</v>
      </c>
      <c r="AH22" s="2">
        <f t="shared" si="8"/>
        <v>143.12730480000002</v>
      </c>
      <c r="AI22" s="2">
        <f t="shared" si="8"/>
        <v>2.3238483999999997</v>
      </c>
      <c r="AJ22" s="2">
        <f t="shared" si="8"/>
        <v>0</v>
      </c>
      <c r="AK22" s="2">
        <f t="shared" si="8"/>
        <v>39788.71</v>
      </c>
      <c r="AL22" s="2">
        <f t="shared" si="8"/>
        <v>20481.5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688164.08</v>
      </c>
      <c r="AS22" s="2">
        <f t="shared" si="8"/>
        <v>597955.9</v>
      </c>
      <c r="AT22" s="2">
        <f t="shared" si="8"/>
        <v>82973.789999999994</v>
      </c>
      <c r="AU22" s="2">
        <f t="shared" ref="AU22:BZ22" si="9">AU61</f>
        <v>7234.39</v>
      </c>
      <c r="AV22" s="2">
        <f t="shared" si="9"/>
        <v>578048.03</v>
      </c>
      <c r="AW22" s="2">
        <f t="shared" si="9"/>
        <v>578048.03</v>
      </c>
      <c r="AX22" s="2">
        <f t="shared" si="9"/>
        <v>0</v>
      </c>
      <c r="AY22" s="2">
        <f t="shared" si="9"/>
        <v>578048.03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CA61</f>
        <v>688164.08</v>
      </c>
      <c r="CB22" s="2">
        <f t="shared" si="10"/>
        <v>597955.9</v>
      </c>
      <c r="CC22" s="2">
        <f t="shared" si="10"/>
        <v>82973.789999999994</v>
      </c>
      <c r="CD22" s="2">
        <f t="shared" si="10"/>
        <v>7234.39</v>
      </c>
      <c r="CE22" s="2">
        <f t="shared" si="10"/>
        <v>578048.03</v>
      </c>
      <c r="CF22" s="2">
        <f t="shared" si="10"/>
        <v>578048.03</v>
      </c>
      <c r="CG22" s="2">
        <f t="shared" si="10"/>
        <v>0</v>
      </c>
      <c r="CH22" s="2">
        <f t="shared" si="10"/>
        <v>578048.03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DG61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EM61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FS61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>
        <v>17</v>
      </c>
      <c r="B24">
        <v>1</v>
      </c>
      <c r="C24">
        <f>ROW(SmtRes!A3)</f>
        <v>3</v>
      </c>
      <c r="D24">
        <f>ROW(EtalonRes!A3)</f>
        <v>3</v>
      </c>
      <c r="E24" t="s">
        <v>13</v>
      </c>
      <c r="F24" t="s">
        <v>14</v>
      </c>
      <c r="G24" t="s">
        <v>15</v>
      </c>
      <c r="H24" t="s">
        <v>16</v>
      </c>
      <c r="I24">
        <f>ROUND(22.68/1000,9)</f>
        <v>2.2679999999999999E-2</v>
      </c>
      <c r="J24">
        <v>0</v>
      </c>
      <c r="K24">
        <f>ROUND(22.68/1000,9)</f>
        <v>2.2679999999999999E-2</v>
      </c>
      <c r="O24">
        <f t="shared" ref="O24:O59" si="14">ROUND(CP24,2)</f>
        <v>1850.4</v>
      </c>
      <c r="P24">
        <f t="shared" ref="P24:P59" si="15">ROUND(CQ24*I24,2)</f>
        <v>0</v>
      </c>
      <c r="Q24">
        <f t="shared" ref="Q24:Q59" si="16">ROUND(CR24*I24,2)</f>
        <v>1780.06</v>
      </c>
      <c r="R24">
        <f t="shared" ref="R24:R59" si="17">ROUND(CS24*I24,2)</f>
        <v>456.28</v>
      </c>
      <c r="S24">
        <f t="shared" ref="S24:S59" si="18">ROUND(CT24*I24,2)</f>
        <v>70.34</v>
      </c>
      <c r="T24">
        <f t="shared" ref="T24:T59" si="19">ROUND(CU24*I24,2)</f>
        <v>0</v>
      </c>
      <c r="U24">
        <f t="shared" ref="U24:U59" si="20">CV24*I24</f>
        <v>0.29166479999999995</v>
      </c>
      <c r="V24">
        <f t="shared" ref="V24:V59" si="21">CW24*I24</f>
        <v>1.3326767999999998</v>
      </c>
      <c r="W24">
        <f t="shared" ref="W24:W59" si="22">ROUND(CX24*I24,2)</f>
        <v>0</v>
      </c>
      <c r="X24">
        <f t="shared" ref="X24:X59" si="23">ROUND(CY24,2)</f>
        <v>484.49</v>
      </c>
      <c r="Y24">
        <f t="shared" ref="Y24:Y59" si="24">ROUND(CZ24,2)</f>
        <v>242.25</v>
      </c>
      <c r="AA24">
        <v>92408302</v>
      </c>
      <c r="AB24">
        <f t="shared" ref="AB24:AB59" si="25">ROUND((AC24+AD24+AF24),2)</f>
        <v>4441.99</v>
      </c>
      <c r="AC24">
        <f t="shared" ref="AC24:AC59" si="26">ROUND((ES24),2)</f>
        <v>0</v>
      </c>
      <c r="AD24">
        <f t="shared" ref="AD24:AD59" si="27">ROUND((((ET24)-(EU24))+AE24),2)</f>
        <v>4348.24</v>
      </c>
      <c r="AE24">
        <f t="shared" ref="AE24:AE59" si="28">ROUND((EU24),2)</f>
        <v>608.16999999999996</v>
      </c>
      <c r="AF24">
        <f t="shared" ref="AF24:AF59" si="29">ROUND((EV24),2)</f>
        <v>93.75</v>
      </c>
      <c r="AG24">
        <f t="shared" ref="AG24:AG59" si="30">ROUND((AP24),2)</f>
        <v>0</v>
      </c>
      <c r="AH24">
        <f t="shared" ref="AH24:AH59" si="31">(EW24)</f>
        <v>12.86</v>
      </c>
      <c r="AI24">
        <f t="shared" ref="AI24:AI59" si="32">(EX24)</f>
        <v>58.76</v>
      </c>
      <c r="AJ24">
        <f t="shared" ref="AJ24:AJ59" si="33">(AS24)</f>
        <v>0</v>
      </c>
      <c r="AK24">
        <v>4441.99</v>
      </c>
      <c r="AL24">
        <v>0</v>
      </c>
      <c r="AM24">
        <v>4348.24</v>
      </c>
      <c r="AN24">
        <v>608.16999999999996</v>
      </c>
      <c r="AO24">
        <v>93.75</v>
      </c>
      <c r="AP24">
        <v>0</v>
      </c>
      <c r="AQ24">
        <v>12.86</v>
      </c>
      <c r="AR24">
        <v>58.76</v>
      </c>
      <c r="AS24">
        <v>0</v>
      </c>
      <c r="AT24">
        <v>92</v>
      </c>
      <c r="AU24">
        <v>46</v>
      </c>
      <c r="AV24">
        <v>1</v>
      </c>
      <c r="AW24">
        <v>1</v>
      </c>
      <c r="AZ24">
        <v>1</v>
      </c>
      <c r="BA24">
        <v>33.08</v>
      </c>
      <c r="BB24">
        <v>18.05</v>
      </c>
      <c r="BC24">
        <v>1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1</v>
      </c>
      <c r="BJ24" t="s">
        <v>17</v>
      </c>
      <c r="BM24">
        <v>1001</v>
      </c>
      <c r="BN24">
        <v>0</v>
      </c>
      <c r="BO24" t="s">
        <v>14</v>
      </c>
      <c r="BP24">
        <v>1</v>
      </c>
      <c r="BQ24">
        <v>2</v>
      </c>
      <c r="BR24">
        <v>0</v>
      </c>
      <c r="BS24">
        <v>33.08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92</v>
      </c>
      <c r="CA24">
        <v>46</v>
      </c>
      <c r="CB24" t="s">
        <v>3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59" si="34">(P24+Q24+S24)</f>
        <v>1850.3999999999999</v>
      </c>
      <c r="CQ24">
        <f t="shared" ref="CQ24:CQ59" si="35">AC24*BC24</f>
        <v>0</v>
      </c>
      <c r="CR24">
        <f t="shared" ref="CR24:CR59" si="36">(((ET24)*BB24-(EU24)*BS24)+AE24*BS24)</f>
        <v>78485.732000000004</v>
      </c>
      <c r="CS24">
        <f t="shared" ref="CS24:CS59" si="37">AE24*BS24</f>
        <v>20118.263599999998</v>
      </c>
      <c r="CT24">
        <f t="shared" ref="CT24:CT59" si="38">AF24*BA24</f>
        <v>3101.25</v>
      </c>
      <c r="CU24">
        <f t="shared" ref="CU24:CU59" si="39">AG24</f>
        <v>0</v>
      </c>
      <c r="CV24">
        <f t="shared" ref="CV24:CV59" si="40">AH24</f>
        <v>12.86</v>
      </c>
      <c r="CW24">
        <f t="shared" ref="CW24:CW59" si="41">AI24</f>
        <v>58.76</v>
      </c>
      <c r="CX24">
        <f t="shared" ref="CX24:CX59" si="42">AJ24</f>
        <v>0</v>
      </c>
      <c r="CY24">
        <f t="shared" ref="CY24:CY59" si="43">(((S24+R24)*AT24)/100)</f>
        <v>484.49040000000002</v>
      </c>
      <c r="CZ24">
        <f t="shared" ref="CZ24:CZ59" si="44">(((S24+R24)*AU24)/100)</f>
        <v>242.24520000000001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1007</v>
      </c>
      <c r="DV24" t="s">
        <v>16</v>
      </c>
      <c r="DW24" t="s">
        <v>16</v>
      </c>
      <c r="DX24">
        <v>1000</v>
      </c>
      <c r="DZ24" t="s">
        <v>3</v>
      </c>
      <c r="EA24" t="s">
        <v>3</v>
      </c>
      <c r="EB24" t="s">
        <v>3</v>
      </c>
      <c r="EC24" t="s">
        <v>3</v>
      </c>
      <c r="EE24">
        <v>92107561</v>
      </c>
      <c r="EF24">
        <v>2</v>
      </c>
      <c r="EG24" t="s">
        <v>18</v>
      </c>
      <c r="EH24">
        <v>1</v>
      </c>
      <c r="EI24" t="s">
        <v>19</v>
      </c>
      <c r="EJ24">
        <v>1</v>
      </c>
      <c r="EK24">
        <v>1001</v>
      </c>
      <c r="EL24" t="s">
        <v>20</v>
      </c>
      <c r="EM24" t="s">
        <v>21</v>
      </c>
      <c r="EO24" t="s">
        <v>3</v>
      </c>
      <c r="EQ24">
        <v>0</v>
      </c>
      <c r="ER24">
        <v>4441.99</v>
      </c>
      <c r="ES24">
        <v>0</v>
      </c>
      <c r="ET24">
        <v>4348.24</v>
      </c>
      <c r="EU24">
        <v>608.16999999999996</v>
      </c>
      <c r="EV24">
        <v>93.75</v>
      </c>
      <c r="EW24">
        <v>12.86</v>
      </c>
      <c r="EX24">
        <v>58.76</v>
      </c>
      <c r="EY24">
        <v>0</v>
      </c>
      <c r="FQ24">
        <v>0</v>
      </c>
      <c r="FR24">
        <f t="shared" ref="FR24:FR59" si="45">ROUND(IF(BI24=3,GM24,0),2)</f>
        <v>0</v>
      </c>
      <c r="FS24">
        <v>0</v>
      </c>
      <c r="FX24">
        <v>92</v>
      </c>
      <c r="FY24">
        <v>46</v>
      </c>
      <c r="GA24" t="s">
        <v>3</v>
      </c>
      <c r="GD24">
        <v>1</v>
      </c>
      <c r="GF24">
        <v>-1969748210</v>
      </c>
      <c r="GG24">
        <v>2</v>
      </c>
      <c r="GH24">
        <v>1</v>
      </c>
      <c r="GI24">
        <v>2</v>
      </c>
      <c r="GJ24">
        <v>0</v>
      </c>
      <c r="GK24">
        <v>0</v>
      </c>
      <c r="GL24">
        <f t="shared" ref="GL24:GL59" si="46">ROUND(IF(AND(BH24=3,BI24=3,FS24&lt;&gt;0),P24,0),2)</f>
        <v>0</v>
      </c>
      <c r="GM24">
        <f t="shared" ref="GM24:GM59" si="47">ROUND(O24+X24+Y24,2)+GX24</f>
        <v>2577.14</v>
      </c>
      <c r="GN24">
        <f t="shared" ref="GN24:GN59" si="48">IF(OR(BI24=0,BI24=1),GM24,0)</f>
        <v>2577.14</v>
      </c>
      <c r="GO24">
        <f t="shared" ref="GO24:GO59" si="49">IF(BI24=2,GM24,0)</f>
        <v>0</v>
      </c>
      <c r="GP24">
        <f t="shared" ref="GP24:GP59" si="50">IF(BI24=4,GM24+GX24,0)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59" si="51">ROUND((GT24),2)</f>
        <v>0</v>
      </c>
      <c r="GW24">
        <v>1</v>
      </c>
      <c r="GX24">
        <f t="shared" ref="GX24:GX59" si="52">ROUND(HC24*I24,2)</f>
        <v>0</v>
      </c>
      <c r="HA24">
        <v>0</v>
      </c>
      <c r="HB24">
        <v>0</v>
      </c>
      <c r="HC24">
        <f t="shared" ref="HC24:HC59" si="53">GV24*GW24</f>
        <v>0</v>
      </c>
      <c r="HE24" t="s">
        <v>3</v>
      </c>
      <c r="HF24" t="s">
        <v>3</v>
      </c>
      <c r="HM24" t="s">
        <v>3</v>
      </c>
      <c r="HN24" t="s">
        <v>22</v>
      </c>
      <c r="HO24" t="s">
        <v>23</v>
      </c>
      <c r="HP24" t="s">
        <v>20</v>
      </c>
      <c r="HQ24" t="s">
        <v>20</v>
      </c>
      <c r="IK24">
        <v>0</v>
      </c>
    </row>
    <row r="25" spans="1:245" x14ac:dyDescent="0.2">
      <c r="A25">
        <v>17</v>
      </c>
      <c r="B25">
        <v>1</v>
      </c>
      <c r="C25">
        <f>ROW(SmtRes!A4)</f>
        <v>4</v>
      </c>
      <c r="D25">
        <f>ROW(EtalonRes!A4)</f>
        <v>4</v>
      </c>
      <c r="E25" t="s">
        <v>24</v>
      </c>
      <c r="F25" t="s">
        <v>25</v>
      </c>
      <c r="G25" t="s">
        <v>26</v>
      </c>
      <c r="H25" t="s">
        <v>27</v>
      </c>
      <c r="I25">
        <f>ROUND(9.72/100,9)</f>
        <v>9.7199999999999995E-2</v>
      </c>
      <c r="J25">
        <v>0</v>
      </c>
      <c r="K25">
        <f>ROUND(9.72/100,9)</f>
        <v>9.7199999999999995E-2</v>
      </c>
      <c r="O25">
        <f t="shared" si="14"/>
        <v>3609.77</v>
      </c>
      <c r="P25">
        <f t="shared" si="15"/>
        <v>0</v>
      </c>
      <c r="Q25">
        <f t="shared" si="16"/>
        <v>0</v>
      </c>
      <c r="R25">
        <f t="shared" si="17"/>
        <v>0</v>
      </c>
      <c r="S25">
        <f t="shared" si="18"/>
        <v>3609.77</v>
      </c>
      <c r="T25">
        <f t="shared" si="19"/>
        <v>0</v>
      </c>
      <c r="U25">
        <f t="shared" si="20"/>
        <v>14.9688</v>
      </c>
      <c r="V25">
        <f t="shared" si="21"/>
        <v>0</v>
      </c>
      <c r="W25">
        <f t="shared" si="22"/>
        <v>0</v>
      </c>
      <c r="X25">
        <f t="shared" si="23"/>
        <v>3212.7</v>
      </c>
      <c r="Y25">
        <f t="shared" si="24"/>
        <v>1443.91</v>
      </c>
      <c r="AA25">
        <v>92408302</v>
      </c>
      <c r="AB25">
        <f t="shared" si="25"/>
        <v>1122.6600000000001</v>
      </c>
      <c r="AC25">
        <f t="shared" si="26"/>
        <v>0</v>
      </c>
      <c r="AD25">
        <f t="shared" si="27"/>
        <v>0</v>
      </c>
      <c r="AE25">
        <f t="shared" si="28"/>
        <v>0</v>
      </c>
      <c r="AF25">
        <f t="shared" si="29"/>
        <v>1122.6600000000001</v>
      </c>
      <c r="AG25">
        <f t="shared" si="30"/>
        <v>0</v>
      </c>
      <c r="AH25">
        <f t="shared" si="31"/>
        <v>154</v>
      </c>
      <c r="AI25">
        <f t="shared" si="32"/>
        <v>0</v>
      </c>
      <c r="AJ25">
        <f t="shared" si="33"/>
        <v>0</v>
      </c>
      <c r="AK25">
        <v>1122.6600000000001</v>
      </c>
      <c r="AL25">
        <v>0</v>
      </c>
      <c r="AM25">
        <v>0</v>
      </c>
      <c r="AN25">
        <v>0</v>
      </c>
      <c r="AO25">
        <v>1122.6600000000001</v>
      </c>
      <c r="AP25">
        <v>0</v>
      </c>
      <c r="AQ25">
        <v>154</v>
      </c>
      <c r="AR25">
        <v>0</v>
      </c>
      <c r="AS25">
        <v>0</v>
      </c>
      <c r="AT25">
        <v>89</v>
      </c>
      <c r="AU25">
        <v>40</v>
      </c>
      <c r="AV25">
        <v>1</v>
      </c>
      <c r="AW25">
        <v>1</v>
      </c>
      <c r="AZ25">
        <v>1</v>
      </c>
      <c r="BA25">
        <v>33.08</v>
      </c>
      <c r="BB25">
        <v>1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0</v>
      </c>
      <c r="BI25">
        <v>1</v>
      </c>
      <c r="BJ25" t="s">
        <v>28</v>
      </c>
      <c r="BM25">
        <v>1003</v>
      </c>
      <c r="BN25">
        <v>0</v>
      </c>
      <c r="BO25" t="s">
        <v>25</v>
      </c>
      <c r="BP25">
        <v>1</v>
      </c>
      <c r="BQ25">
        <v>2</v>
      </c>
      <c r="BR25">
        <v>0</v>
      </c>
      <c r="BS25">
        <v>33.08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89</v>
      </c>
      <c r="CA25">
        <v>40</v>
      </c>
      <c r="CB25" t="s">
        <v>3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3609.77</v>
      </c>
      <c r="CQ25">
        <f t="shared" si="35"/>
        <v>0</v>
      </c>
      <c r="CR25">
        <f t="shared" si="36"/>
        <v>0</v>
      </c>
      <c r="CS25">
        <f t="shared" si="37"/>
        <v>0</v>
      </c>
      <c r="CT25">
        <f t="shared" si="38"/>
        <v>37137.592799999999</v>
      </c>
      <c r="CU25">
        <f t="shared" si="39"/>
        <v>0</v>
      </c>
      <c r="CV25">
        <f t="shared" si="40"/>
        <v>154</v>
      </c>
      <c r="CW25">
        <f t="shared" si="41"/>
        <v>0</v>
      </c>
      <c r="CX25">
        <f t="shared" si="42"/>
        <v>0</v>
      </c>
      <c r="CY25">
        <f t="shared" si="43"/>
        <v>3212.6952999999999</v>
      </c>
      <c r="CZ25">
        <f t="shared" si="44"/>
        <v>1443.9079999999999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1013</v>
      </c>
      <c r="DV25" t="s">
        <v>27</v>
      </c>
      <c r="DW25" t="s">
        <v>27</v>
      </c>
      <c r="DX25">
        <v>1</v>
      </c>
      <c r="DZ25" t="s">
        <v>3</v>
      </c>
      <c r="EA25" t="s">
        <v>3</v>
      </c>
      <c r="EB25" t="s">
        <v>3</v>
      </c>
      <c r="EC25" t="s">
        <v>3</v>
      </c>
      <c r="EE25">
        <v>92107563</v>
      </c>
      <c r="EF25">
        <v>2</v>
      </c>
      <c r="EG25" t="s">
        <v>18</v>
      </c>
      <c r="EH25">
        <v>1</v>
      </c>
      <c r="EI25" t="s">
        <v>19</v>
      </c>
      <c r="EJ25">
        <v>1</v>
      </c>
      <c r="EK25">
        <v>1003</v>
      </c>
      <c r="EL25" t="s">
        <v>29</v>
      </c>
      <c r="EM25" t="s">
        <v>21</v>
      </c>
      <c r="EO25" t="s">
        <v>3</v>
      </c>
      <c r="EQ25">
        <v>0</v>
      </c>
      <c r="ER25">
        <v>1122.6600000000001</v>
      </c>
      <c r="ES25">
        <v>0</v>
      </c>
      <c r="ET25">
        <v>0</v>
      </c>
      <c r="EU25">
        <v>0</v>
      </c>
      <c r="EV25">
        <v>1122.6600000000001</v>
      </c>
      <c r="EW25">
        <v>154</v>
      </c>
      <c r="EX25">
        <v>0</v>
      </c>
      <c r="EY25">
        <v>0</v>
      </c>
      <c r="FQ25">
        <v>0</v>
      </c>
      <c r="FR25">
        <f t="shared" si="45"/>
        <v>0</v>
      </c>
      <c r="FS25">
        <v>0</v>
      </c>
      <c r="FX25">
        <v>89</v>
      </c>
      <c r="FY25">
        <v>40</v>
      </c>
      <c r="GA25" t="s">
        <v>3</v>
      </c>
      <c r="GD25">
        <v>1</v>
      </c>
      <c r="GF25">
        <v>1907499899</v>
      </c>
      <c r="GG25">
        <v>2</v>
      </c>
      <c r="GH25">
        <v>1</v>
      </c>
      <c r="GI25">
        <v>2</v>
      </c>
      <c r="GJ25">
        <v>0</v>
      </c>
      <c r="GK25">
        <v>0</v>
      </c>
      <c r="GL25">
        <f t="shared" si="46"/>
        <v>0</v>
      </c>
      <c r="GM25">
        <f t="shared" si="47"/>
        <v>8266.3799999999992</v>
      </c>
      <c r="GN25">
        <f t="shared" si="48"/>
        <v>8266.3799999999992</v>
      </c>
      <c r="GO25">
        <f t="shared" si="49"/>
        <v>0</v>
      </c>
      <c r="GP25">
        <f t="shared" si="50"/>
        <v>0</v>
      </c>
      <c r="GR25">
        <v>0</v>
      </c>
      <c r="GS25">
        <v>3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3</v>
      </c>
      <c r="HF25" t="s">
        <v>3</v>
      </c>
      <c r="HM25" t="s">
        <v>3</v>
      </c>
      <c r="HN25" t="s">
        <v>30</v>
      </c>
      <c r="HO25" t="s">
        <v>31</v>
      </c>
      <c r="HP25" t="s">
        <v>29</v>
      </c>
      <c r="HQ25" t="s">
        <v>29</v>
      </c>
      <c r="IK25">
        <v>0</v>
      </c>
    </row>
    <row r="26" spans="1:245" x14ac:dyDescent="0.2">
      <c r="A26">
        <v>17</v>
      </c>
      <c r="B26">
        <v>1</v>
      </c>
      <c r="C26">
        <f>ROW(SmtRes!A6)</f>
        <v>6</v>
      </c>
      <c r="D26">
        <f>ROW(EtalonRes!A6)</f>
        <v>6</v>
      </c>
      <c r="E26" t="s">
        <v>32</v>
      </c>
      <c r="F26" t="s">
        <v>33</v>
      </c>
      <c r="G26" t="s">
        <v>34</v>
      </c>
      <c r="H26" t="s">
        <v>16</v>
      </c>
      <c r="I26">
        <f>ROUND(22.68/1000,9)</f>
        <v>2.2679999999999999E-2</v>
      </c>
      <c r="J26">
        <v>0</v>
      </c>
      <c r="K26">
        <f>ROUND(22.68/1000,9)</f>
        <v>2.2679999999999999E-2</v>
      </c>
      <c r="O26">
        <f t="shared" si="14"/>
        <v>299.79000000000002</v>
      </c>
      <c r="P26">
        <f t="shared" si="15"/>
        <v>0</v>
      </c>
      <c r="Q26">
        <f t="shared" si="16"/>
        <v>299.79000000000002</v>
      </c>
      <c r="R26">
        <f t="shared" si="17"/>
        <v>68.87</v>
      </c>
      <c r="S26">
        <f t="shared" si="18"/>
        <v>0</v>
      </c>
      <c r="T26">
        <f t="shared" si="19"/>
        <v>0</v>
      </c>
      <c r="U26">
        <f t="shared" si="20"/>
        <v>0</v>
      </c>
      <c r="V26">
        <f t="shared" si="21"/>
        <v>0.20117159999999998</v>
      </c>
      <c r="W26">
        <f t="shared" si="22"/>
        <v>0</v>
      </c>
      <c r="X26">
        <f t="shared" si="23"/>
        <v>63.36</v>
      </c>
      <c r="Y26">
        <f t="shared" si="24"/>
        <v>31.68</v>
      </c>
      <c r="AA26">
        <v>92408302</v>
      </c>
      <c r="AB26">
        <f t="shared" si="25"/>
        <v>909.09</v>
      </c>
      <c r="AC26">
        <f t="shared" si="26"/>
        <v>0</v>
      </c>
      <c r="AD26">
        <f t="shared" si="27"/>
        <v>909.09</v>
      </c>
      <c r="AE26">
        <f t="shared" si="28"/>
        <v>91.8</v>
      </c>
      <c r="AF26">
        <f t="shared" si="29"/>
        <v>0</v>
      </c>
      <c r="AG26">
        <f t="shared" si="30"/>
        <v>0</v>
      </c>
      <c r="AH26">
        <f t="shared" si="31"/>
        <v>0</v>
      </c>
      <c r="AI26">
        <f t="shared" si="32"/>
        <v>8.8699999999999992</v>
      </c>
      <c r="AJ26">
        <f t="shared" si="33"/>
        <v>0</v>
      </c>
      <c r="AK26">
        <v>909.09</v>
      </c>
      <c r="AL26">
        <v>0</v>
      </c>
      <c r="AM26">
        <v>909.09</v>
      </c>
      <c r="AN26">
        <v>91.8</v>
      </c>
      <c r="AO26">
        <v>0</v>
      </c>
      <c r="AP26">
        <v>0</v>
      </c>
      <c r="AQ26">
        <v>0</v>
      </c>
      <c r="AR26">
        <v>8.8699999999999992</v>
      </c>
      <c r="AS26">
        <v>0</v>
      </c>
      <c r="AT26">
        <v>92</v>
      </c>
      <c r="AU26">
        <v>46</v>
      </c>
      <c r="AV26">
        <v>1</v>
      </c>
      <c r="AW26">
        <v>1</v>
      </c>
      <c r="AZ26">
        <v>1</v>
      </c>
      <c r="BA26">
        <v>33.08</v>
      </c>
      <c r="BB26">
        <v>14.54</v>
      </c>
      <c r="BC26">
        <v>1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1</v>
      </c>
      <c r="BJ26" t="s">
        <v>35</v>
      </c>
      <c r="BM26">
        <v>1001</v>
      </c>
      <c r="BN26">
        <v>0</v>
      </c>
      <c r="BO26" t="s">
        <v>33</v>
      </c>
      <c r="BP26">
        <v>1</v>
      </c>
      <c r="BQ26">
        <v>2</v>
      </c>
      <c r="BR26">
        <v>0</v>
      </c>
      <c r="BS26">
        <v>33.08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92</v>
      </c>
      <c r="CA26">
        <v>46</v>
      </c>
      <c r="CB26" t="s">
        <v>3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299.79000000000002</v>
      </c>
      <c r="CQ26">
        <f t="shared" si="35"/>
        <v>0</v>
      </c>
      <c r="CR26">
        <f t="shared" si="36"/>
        <v>13218.168599999997</v>
      </c>
      <c r="CS26">
        <f t="shared" si="37"/>
        <v>3036.7439999999997</v>
      </c>
      <c r="CT26">
        <f t="shared" si="38"/>
        <v>0</v>
      </c>
      <c r="CU26">
        <f t="shared" si="39"/>
        <v>0</v>
      </c>
      <c r="CV26">
        <f t="shared" si="40"/>
        <v>0</v>
      </c>
      <c r="CW26">
        <f t="shared" si="41"/>
        <v>8.8699999999999992</v>
      </c>
      <c r="CX26">
        <f t="shared" si="42"/>
        <v>0</v>
      </c>
      <c r="CY26">
        <f t="shared" si="43"/>
        <v>63.360400000000006</v>
      </c>
      <c r="CZ26">
        <f t="shared" si="44"/>
        <v>31.680200000000003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1007</v>
      </c>
      <c r="DV26" t="s">
        <v>16</v>
      </c>
      <c r="DW26" t="s">
        <v>16</v>
      </c>
      <c r="DX26">
        <v>1000</v>
      </c>
      <c r="DZ26" t="s">
        <v>3</v>
      </c>
      <c r="EA26" t="s">
        <v>3</v>
      </c>
      <c r="EB26" t="s">
        <v>3</v>
      </c>
      <c r="EC26" t="s">
        <v>3</v>
      </c>
      <c r="EE26">
        <v>92107561</v>
      </c>
      <c r="EF26">
        <v>2</v>
      </c>
      <c r="EG26" t="s">
        <v>18</v>
      </c>
      <c r="EH26">
        <v>1</v>
      </c>
      <c r="EI26" t="s">
        <v>19</v>
      </c>
      <c r="EJ26">
        <v>1</v>
      </c>
      <c r="EK26">
        <v>1001</v>
      </c>
      <c r="EL26" t="s">
        <v>20</v>
      </c>
      <c r="EM26" t="s">
        <v>21</v>
      </c>
      <c r="EO26" t="s">
        <v>3</v>
      </c>
      <c r="EQ26">
        <v>0</v>
      </c>
      <c r="ER26">
        <v>909.09</v>
      </c>
      <c r="ES26">
        <v>0</v>
      </c>
      <c r="ET26">
        <v>909.09</v>
      </c>
      <c r="EU26">
        <v>91.8</v>
      </c>
      <c r="EV26">
        <v>0</v>
      </c>
      <c r="EW26">
        <v>0</v>
      </c>
      <c r="EX26">
        <v>8.8699999999999992</v>
      </c>
      <c r="EY26">
        <v>0</v>
      </c>
      <c r="FQ26">
        <v>0</v>
      </c>
      <c r="FR26">
        <f t="shared" si="45"/>
        <v>0</v>
      </c>
      <c r="FS26">
        <v>0</v>
      </c>
      <c r="FX26">
        <v>92</v>
      </c>
      <c r="FY26">
        <v>46</v>
      </c>
      <c r="GA26" t="s">
        <v>3</v>
      </c>
      <c r="GD26">
        <v>1</v>
      </c>
      <c r="GF26">
        <v>-1007060059</v>
      </c>
      <c r="GG26">
        <v>2</v>
      </c>
      <c r="GH26">
        <v>1</v>
      </c>
      <c r="GI26">
        <v>2</v>
      </c>
      <c r="GJ26">
        <v>0</v>
      </c>
      <c r="GK26">
        <v>0</v>
      </c>
      <c r="GL26">
        <f t="shared" si="46"/>
        <v>0</v>
      </c>
      <c r="GM26">
        <f t="shared" si="47"/>
        <v>394.83</v>
      </c>
      <c r="GN26">
        <f t="shared" si="48"/>
        <v>394.83</v>
      </c>
      <c r="GO26">
        <f t="shared" si="49"/>
        <v>0</v>
      </c>
      <c r="GP26">
        <f t="shared" si="50"/>
        <v>0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HE26" t="s">
        <v>3</v>
      </c>
      <c r="HF26" t="s">
        <v>3</v>
      </c>
      <c r="HM26" t="s">
        <v>3</v>
      </c>
      <c r="HN26" t="s">
        <v>22</v>
      </c>
      <c r="HO26" t="s">
        <v>23</v>
      </c>
      <c r="HP26" t="s">
        <v>20</v>
      </c>
      <c r="HQ26" t="s">
        <v>20</v>
      </c>
      <c r="IK26">
        <v>0</v>
      </c>
    </row>
    <row r="27" spans="1:245" x14ac:dyDescent="0.2">
      <c r="A27">
        <v>17</v>
      </c>
      <c r="B27">
        <v>1</v>
      </c>
      <c r="C27">
        <f>ROW(SmtRes!A7)</f>
        <v>7</v>
      </c>
      <c r="D27">
        <f>ROW(EtalonRes!A7)</f>
        <v>7</v>
      </c>
      <c r="E27" t="s">
        <v>36</v>
      </c>
      <c r="F27" t="s">
        <v>37</v>
      </c>
      <c r="G27" t="s">
        <v>38</v>
      </c>
      <c r="H27" t="s">
        <v>27</v>
      </c>
      <c r="I27">
        <f>ROUND(9.72/100,9)</f>
        <v>9.7199999999999995E-2</v>
      </c>
      <c r="J27">
        <v>0</v>
      </c>
      <c r="K27">
        <f>ROUND(9.72/100,9)</f>
        <v>9.7199999999999995E-2</v>
      </c>
      <c r="O27">
        <f t="shared" si="14"/>
        <v>2190.86</v>
      </c>
      <c r="P27">
        <f t="shared" si="15"/>
        <v>0</v>
      </c>
      <c r="Q27">
        <f t="shared" si="16"/>
        <v>0</v>
      </c>
      <c r="R27">
        <f t="shared" si="17"/>
        <v>0</v>
      </c>
      <c r="S27">
        <f t="shared" si="18"/>
        <v>2190.86</v>
      </c>
      <c r="T27">
        <f t="shared" si="19"/>
        <v>0</v>
      </c>
      <c r="U27">
        <f t="shared" si="20"/>
        <v>9.4478399999999993</v>
      </c>
      <c r="V27">
        <f t="shared" si="21"/>
        <v>0</v>
      </c>
      <c r="W27">
        <f t="shared" si="22"/>
        <v>0</v>
      </c>
      <c r="X27">
        <f t="shared" si="23"/>
        <v>1949.87</v>
      </c>
      <c r="Y27">
        <f t="shared" si="24"/>
        <v>876.34</v>
      </c>
      <c r="AA27">
        <v>92408302</v>
      </c>
      <c r="AB27">
        <f t="shared" si="25"/>
        <v>681.37</v>
      </c>
      <c r="AC27">
        <f t="shared" si="26"/>
        <v>0</v>
      </c>
      <c r="AD27">
        <f t="shared" si="27"/>
        <v>0</v>
      </c>
      <c r="AE27">
        <f t="shared" si="28"/>
        <v>0</v>
      </c>
      <c r="AF27">
        <f t="shared" si="29"/>
        <v>681.37</v>
      </c>
      <c r="AG27">
        <f t="shared" si="30"/>
        <v>0</v>
      </c>
      <c r="AH27">
        <f t="shared" si="31"/>
        <v>97.2</v>
      </c>
      <c r="AI27">
        <f t="shared" si="32"/>
        <v>0</v>
      </c>
      <c r="AJ27">
        <f t="shared" si="33"/>
        <v>0</v>
      </c>
      <c r="AK27">
        <v>681.37</v>
      </c>
      <c r="AL27">
        <v>0</v>
      </c>
      <c r="AM27">
        <v>0</v>
      </c>
      <c r="AN27">
        <v>0</v>
      </c>
      <c r="AO27">
        <v>681.37</v>
      </c>
      <c r="AP27">
        <v>0</v>
      </c>
      <c r="AQ27">
        <v>97.2</v>
      </c>
      <c r="AR27">
        <v>0</v>
      </c>
      <c r="AS27">
        <v>0</v>
      </c>
      <c r="AT27">
        <v>89</v>
      </c>
      <c r="AU27">
        <v>40</v>
      </c>
      <c r="AV27">
        <v>1</v>
      </c>
      <c r="AW27">
        <v>1</v>
      </c>
      <c r="AZ27">
        <v>1</v>
      </c>
      <c r="BA27">
        <v>33.08</v>
      </c>
      <c r="BB27">
        <v>1</v>
      </c>
      <c r="BC27">
        <v>1</v>
      </c>
      <c r="BD27" t="s">
        <v>3</v>
      </c>
      <c r="BE27" t="s">
        <v>3</v>
      </c>
      <c r="BF27" t="s">
        <v>3</v>
      </c>
      <c r="BG27" t="s">
        <v>3</v>
      </c>
      <c r="BH27">
        <v>0</v>
      </c>
      <c r="BI27">
        <v>1</v>
      </c>
      <c r="BJ27" t="s">
        <v>39</v>
      </c>
      <c r="BM27">
        <v>1003</v>
      </c>
      <c r="BN27">
        <v>0</v>
      </c>
      <c r="BO27" t="s">
        <v>37</v>
      </c>
      <c r="BP27">
        <v>1</v>
      </c>
      <c r="BQ27">
        <v>2</v>
      </c>
      <c r="BR27">
        <v>0</v>
      </c>
      <c r="BS27">
        <v>33.08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89</v>
      </c>
      <c r="CA27">
        <v>40</v>
      </c>
      <c r="CB27" t="s">
        <v>3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2190.86</v>
      </c>
      <c r="CQ27">
        <f t="shared" si="35"/>
        <v>0</v>
      </c>
      <c r="CR27">
        <f t="shared" si="36"/>
        <v>0</v>
      </c>
      <c r="CS27">
        <f t="shared" si="37"/>
        <v>0</v>
      </c>
      <c r="CT27">
        <f t="shared" si="38"/>
        <v>22539.7196</v>
      </c>
      <c r="CU27">
        <f t="shared" si="39"/>
        <v>0</v>
      </c>
      <c r="CV27">
        <f t="shared" si="40"/>
        <v>97.2</v>
      </c>
      <c r="CW27">
        <f t="shared" si="41"/>
        <v>0</v>
      </c>
      <c r="CX27">
        <f t="shared" si="42"/>
        <v>0</v>
      </c>
      <c r="CY27">
        <f t="shared" si="43"/>
        <v>1949.8654000000001</v>
      </c>
      <c r="CZ27">
        <f t="shared" si="44"/>
        <v>876.34400000000005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1013</v>
      </c>
      <c r="DV27" t="s">
        <v>27</v>
      </c>
      <c r="DW27" t="s">
        <v>27</v>
      </c>
      <c r="DX27">
        <v>1</v>
      </c>
      <c r="DZ27" t="s">
        <v>3</v>
      </c>
      <c r="EA27" t="s">
        <v>3</v>
      </c>
      <c r="EB27" t="s">
        <v>3</v>
      </c>
      <c r="EC27" t="s">
        <v>3</v>
      </c>
      <c r="EE27">
        <v>92107563</v>
      </c>
      <c r="EF27">
        <v>2</v>
      </c>
      <c r="EG27" t="s">
        <v>18</v>
      </c>
      <c r="EH27">
        <v>1</v>
      </c>
      <c r="EI27" t="s">
        <v>19</v>
      </c>
      <c r="EJ27">
        <v>1</v>
      </c>
      <c r="EK27">
        <v>1003</v>
      </c>
      <c r="EL27" t="s">
        <v>29</v>
      </c>
      <c r="EM27" t="s">
        <v>21</v>
      </c>
      <c r="EO27" t="s">
        <v>3</v>
      </c>
      <c r="EQ27">
        <v>0</v>
      </c>
      <c r="ER27">
        <v>681.37</v>
      </c>
      <c r="ES27">
        <v>0</v>
      </c>
      <c r="ET27">
        <v>0</v>
      </c>
      <c r="EU27">
        <v>0</v>
      </c>
      <c r="EV27">
        <v>681.37</v>
      </c>
      <c r="EW27">
        <v>97.2</v>
      </c>
      <c r="EX27">
        <v>0</v>
      </c>
      <c r="EY27">
        <v>0</v>
      </c>
      <c r="FQ27">
        <v>0</v>
      </c>
      <c r="FR27">
        <f t="shared" si="45"/>
        <v>0</v>
      </c>
      <c r="FS27">
        <v>0</v>
      </c>
      <c r="FX27">
        <v>89</v>
      </c>
      <c r="FY27">
        <v>40</v>
      </c>
      <c r="GA27" t="s">
        <v>3</v>
      </c>
      <c r="GD27">
        <v>1</v>
      </c>
      <c r="GF27">
        <v>-570049592</v>
      </c>
      <c r="GG27">
        <v>2</v>
      </c>
      <c r="GH27">
        <v>1</v>
      </c>
      <c r="GI27">
        <v>2</v>
      </c>
      <c r="GJ27">
        <v>0</v>
      </c>
      <c r="GK27">
        <v>0</v>
      </c>
      <c r="GL27">
        <f t="shared" si="46"/>
        <v>0</v>
      </c>
      <c r="GM27">
        <f t="shared" si="47"/>
        <v>5017.07</v>
      </c>
      <c r="GN27">
        <f t="shared" si="48"/>
        <v>5017.07</v>
      </c>
      <c r="GO27">
        <f t="shared" si="49"/>
        <v>0</v>
      </c>
      <c r="GP27">
        <f t="shared" si="50"/>
        <v>0</v>
      </c>
      <c r="GR27">
        <v>0</v>
      </c>
      <c r="GS27">
        <v>3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3</v>
      </c>
      <c r="HF27" t="s">
        <v>3</v>
      </c>
      <c r="HM27" t="s">
        <v>3</v>
      </c>
      <c r="HN27" t="s">
        <v>30</v>
      </c>
      <c r="HO27" t="s">
        <v>31</v>
      </c>
      <c r="HP27" t="s">
        <v>29</v>
      </c>
      <c r="HQ27" t="s">
        <v>29</v>
      </c>
      <c r="IK27">
        <v>0</v>
      </c>
    </row>
    <row r="28" spans="1:245" x14ac:dyDescent="0.2">
      <c r="A28">
        <v>17</v>
      </c>
      <c r="B28">
        <v>1</v>
      </c>
      <c r="C28">
        <f>ROW(SmtRes!A10)</f>
        <v>10</v>
      </c>
      <c r="D28">
        <f>ROW(EtalonRes!A10)</f>
        <v>10</v>
      </c>
      <c r="E28" t="s">
        <v>40</v>
      </c>
      <c r="F28" t="s">
        <v>41</v>
      </c>
      <c r="G28" t="s">
        <v>42</v>
      </c>
      <c r="H28" t="s">
        <v>43</v>
      </c>
      <c r="I28">
        <f>ROUND(60/100,9)</f>
        <v>0.6</v>
      </c>
      <c r="J28">
        <v>0</v>
      </c>
      <c r="K28">
        <f>ROUND(60/100,9)</f>
        <v>0.6</v>
      </c>
      <c r="O28">
        <f t="shared" si="14"/>
        <v>3981.43</v>
      </c>
      <c r="P28">
        <f t="shared" si="15"/>
        <v>18.91</v>
      </c>
      <c r="Q28">
        <f t="shared" si="16"/>
        <v>3016.76</v>
      </c>
      <c r="R28">
        <f t="shared" si="17"/>
        <v>0</v>
      </c>
      <c r="S28">
        <f t="shared" si="18"/>
        <v>945.76</v>
      </c>
      <c r="T28">
        <f t="shared" si="19"/>
        <v>0</v>
      </c>
      <c r="U28">
        <f t="shared" si="20"/>
        <v>3.1799999999999997</v>
      </c>
      <c r="V28">
        <f t="shared" si="21"/>
        <v>0</v>
      </c>
      <c r="W28">
        <f t="shared" si="22"/>
        <v>0</v>
      </c>
      <c r="X28">
        <f t="shared" si="23"/>
        <v>917.39</v>
      </c>
      <c r="Y28">
        <f t="shared" si="24"/>
        <v>482.34</v>
      </c>
      <c r="AA28">
        <v>92408302</v>
      </c>
      <c r="AB28">
        <f t="shared" si="25"/>
        <v>406.46</v>
      </c>
      <c r="AC28">
        <f t="shared" si="26"/>
        <v>0.95</v>
      </c>
      <c r="AD28">
        <f t="shared" si="27"/>
        <v>357.86</v>
      </c>
      <c r="AE28">
        <f t="shared" si="28"/>
        <v>0</v>
      </c>
      <c r="AF28">
        <f t="shared" si="29"/>
        <v>47.65</v>
      </c>
      <c r="AG28">
        <f t="shared" si="30"/>
        <v>0</v>
      </c>
      <c r="AH28">
        <f t="shared" si="31"/>
        <v>5.3</v>
      </c>
      <c r="AI28">
        <f t="shared" si="32"/>
        <v>0</v>
      </c>
      <c r="AJ28">
        <f t="shared" si="33"/>
        <v>0</v>
      </c>
      <c r="AK28">
        <v>406.46</v>
      </c>
      <c r="AL28">
        <v>0.95</v>
      </c>
      <c r="AM28">
        <v>357.86</v>
      </c>
      <c r="AN28">
        <v>0</v>
      </c>
      <c r="AO28">
        <v>47.65</v>
      </c>
      <c r="AP28">
        <v>0</v>
      </c>
      <c r="AQ28">
        <v>5.3</v>
      </c>
      <c r="AR28">
        <v>0</v>
      </c>
      <c r="AS28">
        <v>0</v>
      </c>
      <c r="AT28">
        <v>97</v>
      </c>
      <c r="AU28">
        <v>51</v>
      </c>
      <c r="AV28">
        <v>1</v>
      </c>
      <c r="AW28">
        <v>1</v>
      </c>
      <c r="AZ28">
        <v>1</v>
      </c>
      <c r="BA28">
        <v>33.08</v>
      </c>
      <c r="BB28">
        <v>14.05</v>
      </c>
      <c r="BC28">
        <v>33.18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2</v>
      </c>
      <c r="BJ28" t="s">
        <v>44</v>
      </c>
      <c r="BM28">
        <v>108001</v>
      </c>
      <c r="BN28">
        <v>0</v>
      </c>
      <c r="BO28" t="s">
        <v>41</v>
      </c>
      <c r="BP28">
        <v>1</v>
      </c>
      <c r="BQ28">
        <v>3</v>
      </c>
      <c r="BR28">
        <v>0</v>
      </c>
      <c r="BS28">
        <v>33.08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97</v>
      </c>
      <c r="CA28">
        <v>51</v>
      </c>
      <c r="CB28" t="s">
        <v>3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3981.4300000000003</v>
      </c>
      <c r="CQ28">
        <f t="shared" si="35"/>
        <v>31.520999999999997</v>
      </c>
      <c r="CR28">
        <f t="shared" si="36"/>
        <v>5027.933</v>
      </c>
      <c r="CS28">
        <f t="shared" si="37"/>
        <v>0</v>
      </c>
      <c r="CT28">
        <f t="shared" si="38"/>
        <v>1576.2619999999999</v>
      </c>
      <c r="CU28">
        <f t="shared" si="39"/>
        <v>0</v>
      </c>
      <c r="CV28">
        <f t="shared" si="40"/>
        <v>5.3</v>
      </c>
      <c r="CW28">
        <f t="shared" si="41"/>
        <v>0</v>
      </c>
      <c r="CX28">
        <f t="shared" si="42"/>
        <v>0</v>
      </c>
      <c r="CY28">
        <f t="shared" si="43"/>
        <v>917.38720000000001</v>
      </c>
      <c r="CZ28">
        <f t="shared" si="44"/>
        <v>482.33760000000001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1013</v>
      </c>
      <c r="DV28" t="s">
        <v>43</v>
      </c>
      <c r="DW28" t="s">
        <v>43</v>
      </c>
      <c r="DX28">
        <v>1</v>
      </c>
      <c r="DZ28" t="s">
        <v>3</v>
      </c>
      <c r="EA28" t="s">
        <v>3</v>
      </c>
      <c r="EB28" t="s">
        <v>3</v>
      </c>
      <c r="EC28" t="s">
        <v>3</v>
      </c>
      <c r="EE28">
        <v>92107470</v>
      </c>
      <c r="EF28">
        <v>3</v>
      </c>
      <c r="EG28" t="s">
        <v>45</v>
      </c>
      <c r="EH28">
        <v>0</v>
      </c>
      <c r="EI28" t="s">
        <v>3</v>
      </c>
      <c r="EJ28">
        <v>2</v>
      </c>
      <c r="EK28">
        <v>108001</v>
      </c>
      <c r="EL28" t="s">
        <v>46</v>
      </c>
      <c r="EM28" t="s">
        <v>47</v>
      </c>
      <c r="EO28" t="s">
        <v>3</v>
      </c>
      <c r="EQ28">
        <v>0</v>
      </c>
      <c r="ER28">
        <v>406.46</v>
      </c>
      <c r="ES28">
        <v>0.95</v>
      </c>
      <c r="ET28">
        <v>357.86</v>
      </c>
      <c r="EU28">
        <v>0</v>
      </c>
      <c r="EV28">
        <v>47.65</v>
      </c>
      <c r="EW28">
        <v>5.3</v>
      </c>
      <c r="EX28">
        <v>0</v>
      </c>
      <c r="EY28">
        <v>0</v>
      </c>
      <c r="FQ28">
        <v>0</v>
      </c>
      <c r="FR28">
        <f t="shared" si="45"/>
        <v>0</v>
      </c>
      <c r="FS28">
        <v>0</v>
      </c>
      <c r="FX28">
        <v>97</v>
      </c>
      <c r="FY28">
        <v>51</v>
      </c>
      <c r="GA28" t="s">
        <v>3</v>
      </c>
      <c r="GD28">
        <v>1</v>
      </c>
      <c r="GF28">
        <v>1457168555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si="46"/>
        <v>0</v>
      </c>
      <c r="GM28">
        <f t="shared" si="47"/>
        <v>5381.16</v>
      </c>
      <c r="GN28">
        <f t="shared" si="48"/>
        <v>0</v>
      </c>
      <c r="GO28">
        <f t="shared" si="49"/>
        <v>5381.16</v>
      </c>
      <c r="GP28">
        <f t="shared" si="50"/>
        <v>0</v>
      </c>
      <c r="GR28">
        <v>0</v>
      </c>
      <c r="GS28">
        <v>3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HE28" t="s">
        <v>3</v>
      </c>
      <c r="HF28" t="s">
        <v>3</v>
      </c>
      <c r="HM28" t="s">
        <v>3</v>
      </c>
      <c r="HN28" t="s">
        <v>48</v>
      </c>
      <c r="HO28" t="s">
        <v>49</v>
      </c>
      <c r="HP28" t="s">
        <v>46</v>
      </c>
      <c r="HQ28" t="s">
        <v>46</v>
      </c>
      <c r="IK28">
        <v>0</v>
      </c>
    </row>
    <row r="29" spans="1:245" x14ac:dyDescent="0.2">
      <c r="A29">
        <v>17</v>
      </c>
      <c r="B29">
        <v>1</v>
      </c>
      <c r="C29">
        <f>ROW(SmtRes!A13)</f>
        <v>13</v>
      </c>
      <c r="D29">
        <f>ROW(EtalonRes!A13)</f>
        <v>13</v>
      </c>
      <c r="E29" t="s">
        <v>50</v>
      </c>
      <c r="F29" t="s">
        <v>51</v>
      </c>
      <c r="G29" t="s">
        <v>52</v>
      </c>
      <c r="H29" t="s">
        <v>43</v>
      </c>
      <c r="I29">
        <f>ROUND(180/100,9)</f>
        <v>1.8</v>
      </c>
      <c r="J29">
        <v>0</v>
      </c>
      <c r="K29">
        <f>ROUND(180/100,9)</f>
        <v>1.8</v>
      </c>
      <c r="O29">
        <f t="shared" si="14"/>
        <v>1272.18</v>
      </c>
      <c r="P29">
        <f t="shared" si="15"/>
        <v>21.31</v>
      </c>
      <c r="Q29">
        <f t="shared" si="16"/>
        <v>185.63</v>
      </c>
      <c r="R29">
        <f t="shared" si="17"/>
        <v>0</v>
      </c>
      <c r="S29">
        <f t="shared" si="18"/>
        <v>1065.24</v>
      </c>
      <c r="T29">
        <f t="shared" si="19"/>
        <v>0</v>
      </c>
      <c r="U29">
        <f t="shared" si="20"/>
        <v>3.5819999999999999</v>
      </c>
      <c r="V29">
        <f t="shared" si="21"/>
        <v>0</v>
      </c>
      <c r="W29">
        <f t="shared" si="22"/>
        <v>0</v>
      </c>
      <c r="X29">
        <f t="shared" si="23"/>
        <v>1033.28</v>
      </c>
      <c r="Y29">
        <f t="shared" si="24"/>
        <v>543.27</v>
      </c>
      <c r="AA29">
        <v>92408302</v>
      </c>
      <c r="AB29">
        <f t="shared" si="25"/>
        <v>25.59</v>
      </c>
      <c r="AC29">
        <f t="shared" si="26"/>
        <v>0.36</v>
      </c>
      <c r="AD29">
        <f t="shared" si="27"/>
        <v>7.34</v>
      </c>
      <c r="AE29">
        <f t="shared" si="28"/>
        <v>0</v>
      </c>
      <c r="AF29">
        <f t="shared" si="29"/>
        <v>17.89</v>
      </c>
      <c r="AG29">
        <f t="shared" si="30"/>
        <v>0</v>
      </c>
      <c r="AH29">
        <f t="shared" si="31"/>
        <v>1.99</v>
      </c>
      <c r="AI29">
        <f t="shared" si="32"/>
        <v>0</v>
      </c>
      <c r="AJ29">
        <f t="shared" si="33"/>
        <v>0</v>
      </c>
      <c r="AK29">
        <v>25.59</v>
      </c>
      <c r="AL29">
        <v>0.36</v>
      </c>
      <c r="AM29">
        <v>7.34</v>
      </c>
      <c r="AN29">
        <v>0</v>
      </c>
      <c r="AO29">
        <v>17.89</v>
      </c>
      <c r="AP29">
        <v>0</v>
      </c>
      <c r="AQ29">
        <v>1.99</v>
      </c>
      <c r="AR29">
        <v>0</v>
      </c>
      <c r="AS29">
        <v>0</v>
      </c>
      <c r="AT29">
        <v>97</v>
      </c>
      <c r="AU29">
        <v>51</v>
      </c>
      <c r="AV29">
        <v>1</v>
      </c>
      <c r="AW29">
        <v>1</v>
      </c>
      <c r="AZ29">
        <v>1</v>
      </c>
      <c r="BA29">
        <v>33.08</v>
      </c>
      <c r="BB29">
        <v>14.05</v>
      </c>
      <c r="BC29">
        <v>32.89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2</v>
      </c>
      <c r="BJ29" t="s">
        <v>53</v>
      </c>
      <c r="BM29">
        <v>108001</v>
      </c>
      <c r="BN29">
        <v>0</v>
      </c>
      <c r="BO29" t="s">
        <v>51</v>
      </c>
      <c r="BP29">
        <v>1</v>
      </c>
      <c r="BQ29">
        <v>3</v>
      </c>
      <c r="BR29">
        <v>0</v>
      </c>
      <c r="BS29">
        <v>33.08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97</v>
      </c>
      <c r="CA29">
        <v>51</v>
      </c>
      <c r="CB29" t="s">
        <v>3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1272.18</v>
      </c>
      <c r="CQ29">
        <f t="shared" si="35"/>
        <v>11.840399999999999</v>
      </c>
      <c r="CR29">
        <f t="shared" si="36"/>
        <v>103.12700000000001</v>
      </c>
      <c r="CS29">
        <f t="shared" si="37"/>
        <v>0</v>
      </c>
      <c r="CT29">
        <f t="shared" si="38"/>
        <v>591.80119999999999</v>
      </c>
      <c r="CU29">
        <f t="shared" si="39"/>
        <v>0</v>
      </c>
      <c r="CV29">
        <f t="shared" si="40"/>
        <v>1.99</v>
      </c>
      <c r="CW29">
        <f t="shared" si="41"/>
        <v>0</v>
      </c>
      <c r="CX29">
        <f t="shared" si="42"/>
        <v>0</v>
      </c>
      <c r="CY29">
        <f t="shared" si="43"/>
        <v>1033.2828</v>
      </c>
      <c r="CZ29">
        <f t="shared" si="44"/>
        <v>543.27239999999995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1013</v>
      </c>
      <c r="DV29" t="s">
        <v>43</v>
      </c>
      <c r="DW29" t="s">
        <v>43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92107470</v>
      </c>
      <c r="EF29">
        <v>3</v>
      </c>
      <c r="EG29" t="s">
        <v>45</v>
      </c>
      <c r="EH29">
        <v>0</v>
      </c>
      <c r="EI29" t="s">
        <v>3</v>
      </c>
      <c r="EJ29">
        <v>2</v>
      </c>
      <c r="EK29">
        <v>108001</v>
      </c>
      <c r="EL29" t="s">
        <v>46</v>
      </c>
      <c r="EM29" t="s">
        <v>47</v>
      </c>
      <c r="EO29" t="s">
        <v>3</v>
      </c>
      <c r="EQ29">
        <v>0</v>
      </c>
      <c r="ER29">
        <v>25.59</v>
      </c>
      <c r="ES29">
        <v>0.36</v>
      </c>
      <c r="ET29">
        <v>7.34</v>
      </c>
      <c r="EU29">
        <v>0</v>
      </c>
      <c r="EV29">
        <v>17.89</v>
      </c>
      <c r="EW29">
        <v>1.99</v>
      </c>
      <c r="EX29">
        <v>0</v>
      </c>
      <c r="EY29">
        <v>0</v>
      </c>
      <c r="FQ29">
        <v>0</v>
      </c>
      <c r="FR29">
        <f t="shared" si="45"/>
        <v>0</v>
      </c>
      <c r="FS29">
        <v>0</v>
      </c>
      <c r="FX29">
        <v>97</v>
      </c>
      <c r="FY29">
        <v>51</v>
      </c>
      <c r="GA29" t="s">
        <v>3</v>
      </c>
      <c r="GD29">
        <v>1</v>
      </c>
      <c r="GF29">
        <v>670693792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6"/>
        <v>0</v>
      </c>
      <c r="GM29">
        <f t="shared" si="47"/>
        <v>2848.73</v>
      </c>
      <c r="GN29">
        <f t="shared" si="48"/>
        <v>0</v>
      </c>
      <c r="GO29">
        <f t="shared" si="49"/>
        <v>2848.73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HM29" t="s">
        <v>3</v>
      </c>
      <c r="HN29" t="s">
        <v>48</v>
      </c>
      <c r="HO29" t="s">
        <v>49</v>
      </c>
      <c r="HP29" t="s">
        <v>46</v>
      </c>
      <c r="HQ29" t="s">
        <v>46</v>
      </c>
      <c r="IK29">
        <v>0</v>
      </c>
    </row>
    <row r="30" spans="1:245" x14ac:dyDescent="0.2">
      <c r="A30">
        <v>17</v>
      </c>
      <c r="B30">
        <v>1</v>
      </c>
      <c r="C30">
        <f>ROW(SmtRes!A23)</f>
        <v>23</v>
      </c>
      <c r="D30">
        <f>ROW(EtalonRes!A23)</f>
        <v>23</v>
      </c>
      <c r="E30" t="s">
        <v>54</v>
      </c>
      <c r="F30" t="s">
        <v>55</v>
      </c>
      <c r="G30" t="s">
        <v>56</v>
      </c>
      <c r="H30" t="s">
        <v>43</v>
      </c>
      <c r="I30">
        <f>ROUND(240/100,9)</f>
        <v>2.4</v>
      </c>
      <c r="J30">
        <v>0</v>
      </c>
      <c r="K30">
        <f>ROUND(240/100,9)</f>
        <v>2.4</v>
      </c>
      <c r="O30">
        <f t="shared" si="14"/>
        <v>19634.45</v>
      </c>
      <c r="P30">
        <f t="shared" si="15"/>
        <v>1317.21</v>
      </c>
      <c r="Q30">
        <f t="shared" si="16"/>
        <v>1872.78</v>
      </c>
      <c r="R30">
        <f t="shared" si="17"/>
        <v>192.13</v>
      </c>
      <c r="S30">
        <f t="shared" si="18"/>
        <v>16444.46</v>
      </c>
      <c r="T30">
        <f t="shared" si="19"/>
        <v>0</v>
      </c>
      <c r="U30">
        <f t="shared" si="20"/>
        <v>55.295999999999999</v>
      </c>
      <c r="V30">
        <f t="shared" si="21"/>
        <v>0.48</v>
      </c>
      <c r="W30">
        <f t="shared" si="22"/>
        <v>0</v>
      </c>
      <c r="X30">
        <f t="shared" si="23"/>
        <v>16137.49</v>
      </c>
      <c r="Y30">
        <f t="shared" si="24"/>
        <v>8484.66</v>
      </c>
      <c r="AA30">
        <v>92408302</v>
      </c>
      <c r="AB30">
        <f t="shared" si="25"/>
        <v>339.16</v>
      </c>
      <c r="AC30">
        <f t="shared" si="26"/>
        <v>41.61</v>
      </c>
      <c r="AD30">
        <f t="shared" si="27"/>
        <v>90.42</v>
      </c>
      <c r="AE30">
        <f t="shared" si="28"/>
        <v>2.42</v>
      </c>
      <c r="AF30">
        <f t="shared" si="29"/>
        <v>207.13</v>
      </c>
      <c r="AG30">
        <f t="shared" si="30"/>
        <v>0</v>
      </c>
      <c r="AH30">
        <f t="shared" si="31"/>
        <v>23.04</v>
      </c>
      <c r="AI30">
        <f t="shared" si="32"/>
        <v>0.2</v>
      </c>
      <c r="AJ30">
        <f t="shared" si="33"/>
        <v>0</v>
      </c>
      <c r="AK30">
        <v>339.16</v>
      </c>
      <c r="AL30">
        <v>41.61</v>
      </c>
      <c r="AM30">
        <v>90.42</v>
      </c>
      <c r="AN30">
        <v>2.42</v>
      </c>
      <c r="AO30">
        <v>207.13</v>
      </c>
      <c r="AP30">
        <v>0</v>
      </c>
      <c r="AQ30">
        <v>23.04</v>
      </c>
      <c r="AR30">
        <v>0.2</v>
      </c>
      <c r="AS30">
        <v>0</v>
      </c>
      <c r="AT30">
        <v>97</v>
      </c>
      <c r="AU30">
        <v>51</v>
      </c>
      <c r="AV30">
        <v>1</v>
      </c>
      <c r="AW30">
        <v>1</v>
      </c>
      <c r="AZ30">
        <v>1</v>
      </c>
      <c r="BA30">
        <v>33.08</v>
      </c>
      <c r="BB30">
        <v>8.6300000000000008</v>
      </c>
      <c r="BC30">
        <v>13.19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2</v>
      </c>
      <c r="BJ30" t="s">
        <v>57</v>
      </c>
      <c r="BM30">
        <v>108001</v>
      </c>
      <c r="BN30">
        <v>0</v>
      </c>
      <c r="BO30" t="s">
        <v>55</v>
      </c>
      <c r="BP30">
        <v>1</v>
      </c>
      <c r="BQ30">
        <v>3</v>
      </c>
      <c r="BR30">
        <v>0</v>
      </c>
      <c r="BS30">
        <v>33.08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97</v>
      </c>
      <c r="CA30">
        <v>51</v>
      </c>
      <c r="CB30" t="s">
        <v>3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19634.449999999997</v>
      </c>
      <c r="CQ30">
        <f t="shared" si="35"/>
        <v>548.83589999999992</v>
      </c>
      <c r="CR30">
        <f t="shared" si="36"/>
        <v>780.32460000000003</v>
      </c>
      <c r="CS30">
        <f t="shared" si="37"/>
        <v>80.053599999999989</v>
      </c>
      <c r="CT30">
        <f t="shared" si="38"/>
        <v>6851.8603999999996</v>
      </c>
      <c r="CU30">
        <f t="shared" si="39"/>
        <v>0</v>
      </c>
      <c r="CV30">
        <f t="shared" si="40"/>
        <v>23.04</v>
      </c>
      <c r="CW30">
        <f t="shared" si="41"/>
        <v>0.2</v>
      </c>
      <c r="CX30">
        <f t="shared" si="42"/>
        <v>0</v>
      </c>
      <c r="CY30">
        <f t="shared" si="43"/>
        <v>16137.4923</v>
      </c>
      <c r="CZ30">
        <f t="shared" si="44"/>
        <v>8484.6608999999989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43</v>
      </c>
      <c r="DW30" t="s">
        <v>43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92107470</v>
      </c>
      <c r="EF30">
        <v>3</v>
      </c>
      <c r="EG30" t="s">
        <v>45</v>
      </c>
      <c r="EH30">
        <v>0</v>
      </c>
      <c r="EI30" t="s">
        <v>3</v>
      </c>
      <c r="EJ30">
        <v>2</v>
      </c>
      <c r="EK30">
        <v>108001</v>
      </c>
      <c r="EL30" t="s">
        <v>46</v>
      </c>
      <c r="EM30" t="s">
        <v>47</v>
      </c>
      <c r="EO30" t="s">
        <v>3</v>
      </c>
      <c r="EQ30">
        <v>0</v>
      </c>
      <c r="ER30">
        <v>339.16</v>
      </c>
      <c r="ES30">
        <v>41.61</v>
      </c>
      <c r="ET30">
        <v>90.42</v>
      </c>
      <c r="EU30">
        <v>2.42</v>
      </c>
      <c r="EV30">
        <v>207.13</v>
      </c>
      <c r="EW30">
        <v>23.04</v>
      </c>
      <c r="EX30">
        <v>0.2</v>
      </c>
      <c r="EY30">
        <v>0</v>
      </c>
      <c r="FQ30">
        <v>0</v>
      </c>
      <c r="FR30">
        <f t="shared" si="45"/>
        <v>0</v>
      </c>
      <c r="FS30">
        <v>0</v>
      </c>
      <c r="FX30">
        <v>97</v>
      </c>
      <c r="FY30">
        <v>51</v>
      </c>
      <c r="GA30" t="s">
        <v>3</v>
      </c>
      <c r="GD30">
        <v>1</v>
      </c>
      <c r="GF30">
        <v>177380879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6"/>
        <v>0</v>
      </c>
      <c r="GM30">
        <f t="shared" si="47"/>
        <v>44256.6</v>
      </c>
      <c r="GN30">
        <f t="shared" si="48"/>
        <v>0</v>
      </c>
      <c r="GO30">
        <f t="shared" si="49"/>
        <v>44256.6</v>
      </c>
      <c r="GP30">
        <f t="shared" si="50"/>
        <v>0</v>
      </c>
      <c r="GR30">
        <v>0</v>
      </c>
      <c r="GS30">
        <v>3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HE30" t="s">
        <v>3</v>
      </c>
      <c r="HF30" t="s">
        <v>3</v>
      </c>
      <c r="HM30" t="s">
        <v>3</v>
      </c>
      <c r="HN30" t="s">
        <v>48</v>
      </c>
      <c r="HO30" t="s">
        <v>49</v>
      </c>
      <c r="HP30" t="s">
        <v>46</v>
      </c>
      <c r="HQ30" t="s">
        <v>46</v>
      </c>
      <c r="IK30">
        <v>0</v>
      </c>
    </row>
    <row r="31" spans="1:245" x14ac:dyDescent="0.2">
      <c r="A31">
        <v>18</v>
      </c>
      <c r="B31">
        <v>1</v>
      </c>
      <c r="C31">
        <v>22</v>
      </c>
      <c r="E31" t="s">
        <v>58</v>
      </c>
      <c r="F31" t="s">
        <v>59</v>
      </c>
      <c r="G31" t="s">
        <v>60</v>
      </c>
      <c r="H31" t="s">
        <v>61</v>
      </c>
      <c r="I31">
        <f>I30*J31</f>
        <v>-1.2</v>
      </c>
      <c r="J31">
        <v>-0.5</v>
      </c>
      <c r="K31">
        <v>-0.5</v>
      </c>
      <c r="O31">
        <f t="shared" si="14"/>
        <v>-959.43</v>
      </c>
      <c r="P31">
        <f t="shared" si="15"/>
        <v>-959.43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</v>
      </c>
      <c r="X31">
        <f t="shared" si="23"/>
        <v>0</v>
      </c>
      <c r="Y31">
        <f t="shared" si="24"/>
        <v>0</v>
      </c>
      <c r="AA31">
        <v>92408302</v>
      </c>
      <c r="AB31">
        <f t="shared" si="25"/>
        <v>71.45</v>
      </c>
      <c r="AC31">
        <f t="shared" si="26"/>
        <v>71.45</v>
      </c>
      <c r="AD31">
        <f t="shared" si="27"/>
        <v>0</v>
      </c>
      <c r="AE31">
        <f t="shared" si="28"/>
        <v>0</v>
      </c>
      <c r="AF31">
        <f t="shared" si="29"/>
        <v>0</v>
      </c>
      <c r="AG31">
        <f t="shared" si="30"/>
        <v>0</v>
      </c>
      <c r="AH31">
        <f t="shared" si="31"/>
        <v>0</v>
      </c>
      <c r="AI31">
        <f t="shared" si="32"/>
        <v>0</v>
      </c>
      <c r="AJ31">
        <f t="shared" si="33"/>
        <v>0</v>
      </c>
      <c r="AK31">
        <v>71.45</v>
      </c>
      <c r="AL31">
        <v>71.45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97</v>
      </c>
      <c r="AU31">
        <v>51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11.19</v>
      </c>
      <c r="BD31" t="s">
        <v>3</v>
      </c>
      <c r="BE31" t="s">
        <v>3</v>
      </c>
      <c r="BF31" t="s">
        <v>3</v>
      </c>
      <c r="BG31" t="s">
        <v>3</v>
      </c>
      <c r="BH31">
        <v>3</v>
      </c>
      <c r="BI31">
        <v>2</v>
      </c>
      <c r="BJ31" t="s">
        <v>62</v>
      </c>
      <c r="BM31">
        <v>108001</v>
      </c>
      <c r="BN31">
        <v>0</v>
      </c>
      <c r="BO31" t="s">
        <v>59</v>
      </c>
      <c r="BP31">
        <v>1</v>
      </c>
      <c r="BQ31">
        <v>3</v>
      </c>
      <c r="BR31">
        <v>1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97</v>
      </c>
      <c r="CA31">
        <v>51</v>
      </c>
      <c r="CB31" t="s">
        <v>3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-959.43</v>
      </c>
      <c r="CQ31">
        <f t="shared" si="35"/>
        <v>799.52549999999997</v>
      </c>
      <c r="CR31">
        <f t="shared" si="36"/>
        <v>0</v>
      </c>
      <c r="CS31">
        <f t="shared" si="37"/>
        <v>0</v>
      </c>
      <c r="CT31">
        <f t="shared" si="38"/>
        <v>0</v>
      </c>
      <c r="CU31">
        <f t="shared" si="39"/>
        <v>0</v>
      </c>
      <c r="CV31">
        <f t="shared" si="40"/>
        <v>0</v>
      </c>
      <c r="CW31">
        <f t="shared" si="41"/>
        <v>0</v>
      </c>
      <c r="CX31">
        <f t="shared" si="42"/>
        <v>0</v>
      </c>
      <c r="CY31">
        <f t="shared" si="43"/>
        <v>0</v>
      </c>
      <c r="CZ31">
        <f t="shared" si="44"/>
        <v>0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1009</v>
      </c>
      <c r="DV31" t="s">
        <v>61</v>
      </c>
      <c r="DW31" t="s">
        <v>61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92107470</v>
      </c>
      <c r="EF31">
        <v>3</v>
      </c>
      <c r="EG31" t="s">
        <v>45</v>
      </c>
      <c r="EH31">
        <v>0</v>
      </c>
      <c r="EI31" t="s">
        <v>3</v>
      </c>
      <c r="EJ31">
        <v>2</v>
      </c>
      <c r="EK31">
        <v>108001</v>
      </c>
      <c r="EL31" t="s">
        <v>46</v>
      </c>
      <c r="EM31" t="s">
        <v>47</v>
      </c>
      <c r="EO31" t="s">
        <v>3</v>
      </c>
      <c r="EQ31">
        <v>0</v>
      </c>
      <c r="ER31">
        <v>71.45</v>
      </c>
      <c r="ES31">
        <v>71.45</v>
      </c>
      <c r="ET31">
        <v>0</v>
      </c>
      <c r="EU31">
        <v>0</v>
      </c>
      <c r="EV31">
        <v>0</v>
      </c>
      <c r="EW31">
        <v>0</v>
      </c>
      <c r="EX31">
        <v>0</v>
      </c>
      <c r="FQ31">
        <v>0</v>
      </c>
      <c r="FR31">
        <f t="shared" si="45"/>
        <v>0</v>
      </c>
      <c r="FS31">
        <v>0</v>
      </c>
      <c r="FX31">
        <v>97</v>
      </c>
      <c r="FY31">
        <v>51</v>
      </c>
      <c r="GA31" t="s">
        <v>3</v>
      </c>
      <c r="GD31">
        <v>1</v>
      </c>
      <c r="GF31">
        <v>904967830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46"/>
        <v>0</v>
      </c>
      <c r="GM31">
        <f t="shared" si="47"/>
        <v>-959.43</v>
      </c>
      <c r="GN31">
        <f t="shared" si="48"/>
        <v>0</v>
      </c>
      <c r="GO31">
        <f t="shared" si="49"/>
        <v>-959.43</v>
      </c>
      <c r="GP31">
        <f t="shared" si="50"/>
        <v>0</v>
      </c>
      <c r="GR31">
        <v>0</v>
      </c>
      <c r="GS31">
        <v>3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HM31" t="s">
        <v>3</v>
      </c>
      <c r="HN31" t="s">
        <v>48</v>
      </c>
      <c r="HO31" t="s">
        <v>49</v>
      </c>
      <c r="HP31" t="s">
        <v>46</v>
      </c>
      <c r="HQ31" t="s">
        <v>46</v>
      </c>
      <c r="IK31">
        <v>0</v>
      </c>
    </row>
    <row r="32" spans="1:245" x14ac:dyDescent="0.2">
      <c r="A32">
        <v>17</v>
      </c>
      <c r="B32">
        <v>1</v>
      </c>
      <c r="C32">
        <f>ROW(SmtRes!A32)</f>
        <v>32</v>
      </c>
      <c r="D32">
        <f>ROW(EtalonRes!A32)</f>
        <v>32</v>
      </c>
      <c r="E32" t="s">
        <v>63</v>
      </c>
      <c r="F32" t="s">
        <v>64</v>
      </c>
      <c r="G32" t="s">
        <v>65</v>
      </c>
      <c r="H32" t="s">
        <v>66</v>
      </c>
      <c r="I32">
        <f>ROUND(22/100,9)</f>
        <v>0.22</v>
      </c>
      <c r="J32">
        <v>0</v>
      </c>
      <c r="K32">
        <f>ROUND(22/100,9)</f>
        <v>0.22</v>
      </c>
      <c r="O32">
        <f t="shared" si="14"/>
        <v>1832.68</v>
      </c>
      <c r="P32">
        <f t="shared" si="15"/>
        <v>248.24</v>
      </c>
      <c r="Q32">
        <f t="shared" si="16"/>
        <v>79.87</v>
      </c>
      <c r="R32">
        <f t="shared" si="17"/>
        <v>8.81</v>
      </c>
      <c r="S32">
        <f t="shared" si="18"/>
        <v>1504.57</v>
      </c>
      <c r="T32">
        <f t="shared" si="19"/>
        <v>0</v>
      </c>
      <c r="U32">
        <f t="shared" si="20"/>
        <v>5.1744000000000003</v>
      </c>
      <c r="V32">
        <f t="shared" si="21"/>
        <v>2.2000000000000002E-2</v>
      </c>
      <c r="W32">
        <f t="shared" si="22"/>
        <v>0</v>
      </c>
      <c r="X32">
        <f t="shared" si="23"/>
        <v>1467.98</v>
      </c>
      <c r="Y32">
        <f t="shared" si="24"/>
        <v>771.82</v>
      </c>
      <c r="AA32">
        <v>92408302</v>
      </c>
      <c r="AB32">
        <f t="shared" si="25"/>
        <v>371.2</v>
      </c>
      <c r="AC32">
        <f t="shared" si="26"/>
        <v>128.37</v>
      </c>
      <c r="AD32">
        <f t="shared" si="27"/>
        <v>36.090000000000003</v>
      </c>
      <c r="AE32">
        <f t="shared" si="28"/>
        <v>1.21</v>
      </c>
      <c r="AF32">
        <f t="shared" si="29"/>
        <v>206.74</v>
      </c>
      <c r="AG32">
        <f t="shared" si="30"/>
        <v>0</v>
      </c>
      <c r="AH32">
        <f t="shared" si="31"/>
        <v>23.52</v>
      </c>
      <c r="AI32">
        <f t="shared" si="32"/>
        <v>0.1</v>
      </c>
      <c r="AJ32">
        <f t="shared" si="33"/>
        <v>0</v>
      </c>
      <c r="AK32">
        <v>371.2</v>
      </c>
      <c r="AL32">
        <v>128.37</v>
      </c>
      <c r="AM32">
        <v>36.090000000000003</v>
      </c>
      <c r="AN32">
        <v>1.21</v>
      </c>
      <c r="AO32">
        <v>206.74</v>
      </c>
      <c r="AP32">
        <v>0</v>
      </c>
      <c r="AQ32">
        <v>23.52</v>
      </c>
      <c r="AR32">
        <v>0.1</v>
      </c>
      <c r="AS32">
        <v>0</v>
      </c>
      <c r="AT32">
        <v>97</v>
      </c>
      <c r="AU32">
        <v>51</v>
      </c>
      <c r="AV32">
        <v>1</v>
      </c>
      <c r="AW32">
        <v>1</v>
      </c>
      <c r="AZ32">
        <v>1</v>
      </c>
      <c r="BA32">
        <v>33.08</v>
      </c>
      <c r="BB32">
        <v>10.06</v>
      </c>
      <c r="BC32">
        <v>8.7899999999999991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2</v>
      </c>
      <c r="BJ32" t="s">
        <v>67</v>
      </c>
      <c r="BM32">
        <v>108001</v>
      </c>
      <c r="BN32">
        <v>0</v>
      </c>
      <c r="BO32" t="s">
        <v>64</v>
      </c>
      <c r="BP32">
        <v>1</v>
      </c>
      <c r="BQ32">
        <v>3</v>
      </c>
      <c r="BR32">
        <v>0</v>
      </c>
      <c r="BS32">
        <v>33.08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97</v>
      </c>
      <c r="CA32">
        <v>51</v>
      </c>
      <c r="CB32" t="s">
        <v>3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1832.6799999999998</v>
      </c>
      <c r="CQ32">
        <f t="shared" si="35"/>
        <v>1128.3723</v>
      </c>
      <c r="CR32">
        <f t="shared" si="36"/>
        <v>363.06540000000007</v>
      </c>
      <c r="CS32">
        <f t="shared" si="37"/>
        <v>40.026799999999994</v>
      </c>
      <c r="CT32">
        <f t="shared" si="38"/>
        <v>6838.9592000000002</v>
      </c>
      <c r="CU32">
        <f t="shared" si="39"/>
        <v>0</v>
      </c>
      <c r="CV32">
        <f t="shared" si="40"/>
        <v>23.52</v>
      </c>
      <c r="CW32">
        <f t="shared" si="41"/>
        <v>0.1</v>
      </c>
      <c r="CX32">
        <f t="shared" si="42"/>
        <v>0</v>
      </c>
      <c r="CY32">
        <f t="shared" si="43"/>
        <v>1467.9785999999999</v>
      </c>
      <c r="CZ32">
        <f t="shared" si="44"/>
        <v>771.82379999999989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1003</v>
      </c>
      <c r="DV32" t="s">
        <v>66</v>
      </c>
      <c r="DW32" t="s">
        <v>66</v>
      </c>
      <c r="DX32">
        <v>100</v>
      </c>
      <c r="DZ32" t="s">
        <v>3</v>
      </c>
      <c r="EA32" t="s">
        <v>3</v>
      </c>
      <c r="EB32" t="s">
        <v>3</v>
      </c>
      <c r="EC32" t="s">
        <v>3</v>
      </c>
      <c r="EE32">
        <v>92107470</v>
      </c>
      <c r="EF32">
        <v>3</v>
      </c>
      <c r="EG32" t="s">
        <v>45</v>
      </c>
      <c r="EH32">
        <v>0</v>
      </c>
      <c r="EI32" t="s">
        <v>3</v>
      </c>
      <c r="EJ32">
        <v>2</v>
      </c>
      <c r="EK32">
        <v>108001</v>
      </c>
      <c r="EL32" t="s">
        <v>46</v>
      </c>
      <c r="EM32" t="s">
        <v>47</v>
      </c>
      <c r="EO32" t="s">
        <v>3</v>
      </c>
      <c r="EQ32">
        <v>0</v>
      </c>
      <c r="ER32">
        <v>371.2</v>
      </c>
      <c r="ES32">
        <v>128.37</v>
      </c>
      <c r="ET32">
        <v>36.090000000000003</v>
      </c>
      <c r="EU32">
        <v>1.21</v>
      </c>
      <c r="EV32">
        <v>206.74</v>
      </c>
      <c r="EW32">
        <v>23.52</v>
      </c>
      <c r="EX32">
        <v>0.1</v>
      </c>
      <c r="EY32">
        <v>0</v>
      </c>
      <c r="FQ32">
        <v>0</v>
      </c>
      <c r="FR32">
        <f t="shared" si="45"/>
        <v>0</v>
      </c>
      <c r="FS32">
        <v>0</v>
      </c>
      <c r="FX32">
        <v>97</v>
      </c>
      <c r="FY32">
        <v>51</v>
      </c>
      <c r="GA32" t="s">
        <v>3</v>
      </c>
      <c r="GD32">
        <v>1</v>
      </c>
      <c r="GF32">
        <v>-905993166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6"/>
        <v>0</v>
      </c>
      <c r="GM32">
        <f t="shared" si="47"/>
        <v>4072.48</v>
      </c>
      <c r="GN32">
        <f t="shared" si="48"/>
        <v>0</v>
      </c>
      <c r="GO32">
        <f t="shared" si="49"/>
        <v>4072.48</v>
      </c>
      <c r="GP32">
        <f t="shared" si="50"/>
        <v>0</v>
      </c>
      <c r="GR32">
        <v>0</v>
      </c>
      <c r="GS32">
        <v>3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HE32" t="s">
        <v>3</v>
      </c>
      <c r="HF32" t="s">
        <v>3</v>
      </c>
      <c r="HM32" t="s">
        <v>3</v>
      </c>
      <c r="HN32" t="s">
        <v>48</v>
      </c>
      <c r="HO32" t="s">
        <v>49</v>
      </c>
      <c r="HP32" t="s">
        <v>46</v>
      </c>
      <c r="HQ32" t="s">
        <v>46</v>
      </c>
      <c r="IK32">
        <v>0</v>
      </c>
    </row>
    <row r="33" spans="1:245" x14ac:dyDescent="0.2">
      <c r="A33">
        <v>18</v>
      </c>
      <c r="B33">
        <v>1</v>
      </c>
      <c r="C33">
        <v>29</v>
      </c>
      <c r="E33" t="s">
        <v>68</v>
      </c>
      <c r="F33" t="s">
        <v>69</v>
      </c>
      <c r="G33" t="s">
        <v>70</v>
      </c>
      <c r="H33" t="s">
        <v>61</v>
      </c>
      <c r="I33">
        <f>I32*J33</f>
        <v>-1.5047999999999999</v>
      </c>
      <c r="J33">
        <v>-6.84</v>
      </c>
      <c r="K33">
        <v>-6.84</v>
      </c>
      <c r="O33">
        <f t="shared" si="14"/>
        <v>-183.31</v>
      </c>
      <c r="P33">
        <f t="shared" si="15"/>
        <v>-183.31</v>
      </c>
      <c r="Q33">
        <f t="shared" si="16"/>
        <v>0</v>
      </c>
      <c r="R33">
        <f t="shared" si="17"/>
        <v>0</v>
      </c>
      <c r="S33">
        <f t="shared" si="18"/>
        <v>0</v>
      </c>
      <c r="T33">
        <f t="shared" si="19"/>
        <v>0</v>
      </c>
      <c r="U33">
        <f t="shared" si="20"/>
        <v>0</v>
      </c>
      <c r="V33">
        <f t="shared" si="21"/>
        <v>0</v>
      </c>
      <c r="W33">
        <f t="shared" si="22"/>
        <v>0</v>
      </c>
      <c r="X33">
        <f t="shared" si="23"/>
        <v>0</v>
      </c>
      <c r="Y33">
        <f t="shared" si="24"/>
        <v>0</v>
      </c>
      <c r="AA33">
        <v>92408302</v>
      </c>
      <c r="AB33">
        <f t="shared" si="25"/>
        <v>12.65</v>
      </c>
      <c r="AC33">
        <f t="shared" si="26"/>
        <v>12.65</v>
      </c>
      <c r="AD33">
        <f t="shared" si="27"/>
        <v>0</v>
      </c>
      <c r="AE33">
        <f t="shared" si="28"/>
        <v>0</v>
      </c>
      <c r="AF33">
        <f t="shared" si="29"/>
        <v>0</v>
      </c>
      <c r="AG33">
        <f t="shared" si="30"/>
        <v>0</v>
      </c>
      <c r="AH33">
        <f t="shared" si="31"/>
        <v>0</v>
      </c>
      <c r="AI33">
        <f t="shared" si="32"/>
        <v>0</v>
      </c>
      <c r="AJ33">
        <f t="shared" si="33"/>
        <v>0</v>
      </c>
      <c r="AK33">
        <v>12.65</v>
      </c>
      <c r="AL33">
        <v>12.65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97</v>
      </c>
      <c r="AU33">
        <v>51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9.6300000000000008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2</v>
      </c>
      <c r="BJ33" t="s">
        <v>71</v>
      </c>
      <c r="BM33">
        <v>108001</v>
      </c>
      <c r="BN33">
        <v>0</v>
      </c>
      <c r="BO33" t="s">
        <v>69</v>
      </c>
      <c r="BP33">
        <v>1</v>
      </c>
      <c r="BQ33">
        <v>3</v>
      </c>
      <c r="BR33">
        <v>1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97</v>
      </c>
      <c r="CA33">
        <v>51</v>
      </c>
      <c r="CB33" t="s">
        <v>3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-183.31</v>
      </c>
      <c r="CQ33">
        <f t="shared" si="35"/>
        <v>121.81950000000002</v>
      </c>
      <c r="CR33">
        <f t="shared" si="36"/>
        <v>0</v>
      </c>
      <c r="CS33">
        <f t="shared" si="37"/>
        <v>0</v>
      </c>
      <c r="CT33">
        <f t="shared" si="38"/>
        <v>0</v>
      </c>
      <c r="CU33">
        <f t="shared" si="39"/>
        <v>0</v>
      </c>
      <c r="CV33">
        <f t="shared" si="40"/>
        <v>0</v>
      </c>
      <c r="CW33">
        <f t="shared" si="41"/>
        <v>0</v>
      </c>
      <c r="CX33">
        <f t="shared" si="42"/>
        <v>0</v>
      </c>
      <c r="CY33">
        <f t="shared" si="43"/>
        <v>0</v>
      </c>
      <c r="CZ33">
        <f t="shared" si="44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1009</v>
      </c>
      <c r="DV33" t="s">
        <v>61</v>
      </c>
      <c r="DW33" t="s">
        <v>61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92107470</v>
      </c>
      <c r="EF33">
        <v>3</v>
      </c>
      <c r="EG33" t="s">
        <v>45</v>
      </c>
      <c r="EH33">
        <v>0</v>
      </c>
      <c r="EI33" t="s">
        <v>3</v>
      </c>
      <c r="EJ33">
        <v>2</v>
      </c>
      <c r="EK33">
        <v>108001</v>
      </c>
      <c r="EL33" t="s">
        <v>46</v>
      </c>
      <c r="EM33" t="s">
        <v>47</v>
      </c>
      <c r="EO33" t="s">
        <v>3</v>
      </c>
      <c r="EQ33">
        <v>0</v>
      </c>
      <c r="ER33">
        <v>12.65</v>
      </c>
      <c r="ES33">
        <v>12.65</v>
      </c>
      <c r="ET33">
        <v>0</v>
      </c>
      <c r="EU33">
        <v>0</v>
      </c>
      <c r="EV33">
        <v>0</v>
      </c>
      <c r="EW33">
        <v>0</v>
      </c>
      <c r="EX33">
        <v>0</v>
      </c>
      <c r="FQ33">
        <v>0</v>
      </c>
      <c r="FR33">
        <f t="shared" si="45"/>
        <v>0</v>
      </c>
      <c r="FS33">
        <v>0</v>
      </c>
      <c r="FX33">
        <v>97</v>
      </c>
      <c r="FY33">
        <v>51</v>
      </c>
      <c r="GA33" t="s">
        <v>3</v>
      </c>
      <c r="GD33">
        <v>1</v>
      </c>
      <c r="GF33">
        <v>-347328291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6"/>
        <v>0</v>
      </c>
      <c r="GM33">
        <f t="shared" si="47"/>
        <v>-183.31</v>
      </c>
      <c r="GN33">
        <f t="shared" si="48"/>
        <v>0</v>
      </c>
      <c r="GO33">
        <f t="shared" si="49"/>
        <v>-183.31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HM33" t="s">
        <v>3</v>
      </c>
      <c r="HN33" t="s">
        <v>48</v>
      </c>
      <c r="HO33" t="s">
        <v>49</v>
      </c>
      <c r="HP33" t="s">
        <v>46</v>
      </c>
      <c r="HQ33" t="s">
        <v>46</v>
      </c>
      <c r="IK33">
        <v>0</v>
      </c>
    </row>
    <row r="34" spans="1:245" x14ac:dyDescent="0.2">
      <c r="A34">
        <v>17</v>
      </c>
      <c r="B34">
        <v>1</v>
      </c>
      <c r="C34">
        <f>ROW(SmtRes!A43)</f>
        <v>43</v>
      </c>
      <c r="D34">
        <f>ROW(EtalonRes!A43)</f>
        <v>43</v>
      </c>
      <c r="E34" t="s">
        <v>72</v>
      </c>
      <c r="F34" t="s">
        <v>73</v>
      </c>
      <c r="G34" t="s">
        <v>74</v>
      </c>
      <c r="H34" t="s">
        <v>43</v>
      </c>
      <c r="I34">
        <f>ROUND(44/100,9)</f>
        <v>0.44</v>
      </c>
      <c r="J34">
        <v>0</v>
      </c>
      <c r="K34">
        <f>ROUND(44/100,9)</f>
        <v>0.44</v>
      </c>
      <c r="O34">
        <f t="shared" si="14"/>
        <v>3162.23</v>
      </c>
      <c r="P34">
        <f t="shared" si="15"/>
        <v>179.76</v>
      </c>
      <c r="Q34">
        <f t="shared" si="16"/>
        <v>334.01</v>
      </c>
      <c r="R34">
        <f t="shared" si="17"/>
        <v>35.22</v>
      </c>
      <c r="S34">
        <f t="shared" si="18"/>
        <v>2648.46</v>
      </c>
      <c r="T34">
        <f t="shared" si="19"/>
        <v>0</v>
      </c>
      <c r="U34">
        <f t="shared" si="20"/>
        <v>8.9055999999999997</v>
      </c>
      <c r="V34">
        <f t="shared" si="21"/>
        <v>8.8000000000000009E-2</v>
      </c>
      <c r="W34">
        <f t="shared" si="22"/>
        <v>0</v>
      </c>
      <c r="X34">
        <f t="shared" si="23"/>
        <v>2603.17</v>
      </c>
      <c r="Y34">
        <f t="shared" si="24"/>
        <v>1368.68</v>
      </c>
      <c r="AA34">
        <v>92408302</v>
      </c>
      <c r="AB34">
        <f t="shared" si="25"/>
        <v>301.02999999999997</v>
      </c>
      <c r="AC34">
        <f t="shared" si="26"/>
        <v>32.71</v>
      </c>
      <c r="AD34">
        <f t="shared" si="27"/>
        <v>86.36</v>
      </c>
      <c r="AE34">
        <f t="shared" si="28"/>
        <v>2.42</v>
      </c>
      <c r="AF34">
        <f t="shared" si="29"/>
        <v>181.96</v>
      </c>
      <c r="AG34">
        <f t="shared" si="30"/>
        <v>0</v>
      </c>
      <c r="AH34">
        <f t="shared" si="31"/>
        <v>20.239999999999998</v>
      </c>
      <c r="AI34">
        <f t="shared" si="32"/>
        <v>0.2</v>
      </c>
      <c r="AJ34">
        <f t="shared" si="33"/>
        <v>0</v>
      </c>
      <c r="AK34">
        <v>301.02999999999997</v>
      </c>
      <c r="AL34">
        <v>32.71</v>
      </c>
      <c r="AM34">
        <v>86.36</v>
      </c>
      <c r="AN34">
        <v>2.42</v>
      </c>
      <c r="AO34">
        <v>181.96</v>
      </c>
      <c r="AP34">
        <v>0</v>
      </c>
      <c r="AQ34">
        <v>20.239999999999998</v>
      </c>
      <c r="AR34">
        <v>0.2</v>
      </c>
      <c r="AS34">
        <v>0</v>
      </c>
      <c r="AT34">
        <v>97</v>
      </c>
      <c r="AU34">
        <v>51</v>
      </c>
      <c r="AV34">
        <v>1</v>
      </c>
      <c r="AW34">
        <v>1</v>
      </c>
      <c r="AZ34">
        <v>1</v>
      </c>
      <c r="BA34">
        <v>33.08</v>
      </c>
      <c r="BB34">
        <v>8.7899999999999991</v>
      </c>
      <c r="BC34">
        <v>12.49</v>
      </c>
      <c r="BD34" t="s">
        <v>3</v>
      </c>
      <c r="BE34" t="s">
        <v>3</v>
      </c>
      <c r="BF34" t="s">
        <v>3</v>
      </c>
      <c r="BG34" t="s">
        <v>3</v>
      </c>
      <c r="BH34">
        <v>0</v>
      </c>
      <c r="BI34">
        <v>2</v>
      </c>
      <c r="BJ34" t="s">
        <v>75</v>
      </c>
      <c r="BM34">
        <v>108001</v>
      </c>
      <c r="BN34">
        <v>0</v>
      </c>
      <c r="BO34" t="s">
        <v>73</v>
      </c>
      <c r="BP34">
        <v>1</v>
      </c>
      <c r="BQ34">
        <v>3</v>
      </c>
      <c r="BR34">
        <v>0</v>
      </c>
      <c r="BS34">
        <v>33.08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97</v>
      </c>
      <c r="CA34">
        <v>51</v>
      </c>
      <c r="CB34" t="s">
        <v>3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4"/>
        <v>3162.23</v>
      </c>
      <c r="CQ34">
        <f t="shared" si="35"/>
        <v>408.54790000000003</v>
      </c>
      <c r="CR34">
        <f t="shared" si="36"/>
        <v>759.10439999999994</v>
      </c>
      <c r="CS34">
        <f t="shared" si="37"/>
        <v>80.053599999999989</v>
      </c>
      <c r="CT34">
        <f t="shared" si="38"/>
        <v>6019.2367999999997</v>
      </c>
      <c r="CU34">
        <f t="shared" si="39"/>
        <v>0</v>
      </c>
      <c r="CV34">
        <f t="shared" si="40"/>
        <v>20.239999999999998</v>
      </c>
      <c r="CW34">
        <f t="shared" si="41"/>
        <v>0.2</v>
      </c>
      <c r="CX34">
        <f t="shared" si="42"/>
        <v>0</v>
      </c>
      <c r="CY34">
        <f t="shared" si="43"/>
        <v>2603.1695999999997</v>
      </c>
      <c r="CZ34">
        <f t="shared" si="44"/>
        <v>1368.6768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1013</v>
      </c>
      <c r="DV34" t="s">
        <v>43</v>
      </c>
      <c r="DW34" t="s">
        <v>43</v>
      </c>
      <c r="DX34">
        <v>1</v>
      </c>
      <c r="DZ34" t="s">
        <v>3</v>
      </c>
      <c r="EA34" t="s">
        <v>3</v>
      </c>
      <c r="EB34" t="s">
        <v>3</v>
      </c>
      <c r="EC34" t="s">
        <v>3</v>
      </c>
      <c r="EE34">
        <v>92107470</v>
      </c>
      <c r="EF34">
        <v>3</v>
      </c>
      <c r="EG34" t="s">
        <v>45</v>
      </c>
      <c r="EH34">
        <v>0</v>
      </c>
      <c r="EI34" t="s">
        <v>3</v>
      </c>
      <c r="EJ34">
        <v>2</v>
      </c>
      <c r="EK34">
        <v>108001</v>
      </c>
      <c r="EL34" t="s">
        <v>46</v>
      </c>
      <c r="EM34" t="s">
        <v>47</v>
      </c>
      <c r="EO34" t="s">
        <v>3</v>
      </c>
      <c r="EQ34">
        <v>0</v>
      </c>
      <c r="ER34">
        <v>301.02999999999997</v>
      </c>
      <c r="ES34">
        <v>32.71</v>
      </c>
      <c r="ET34">
        <v>86.36</v>
      </c>
      <c r="EU34">
        <v>2.42</v>
      </c>
      <c r="EV34">
        <v>181.96</v>
      </c>
      <c r="EW34">
        <v>20.239999999999998</v>
      </c>
      <c r="EX34">
        <v>0.2</v>
      </c>
      <c r="EY34">
        <v>0</v>
      </c>
      <c r="FQ34">
        <v>0</v>
      </c>
      <c r="FR34">
        <f t="shared" si="45"/>
        <v>0</v>
      </c>
      <c r="FS34">
        <v>0</v>
      </c>
      <c r="FX34">
        <v>97</v>
      </c>
      <c r="FY34">
        <v>51</v>
      </c>
      <c r="GA34" t="s">
        <v>3</v>
      </c>
      <c r="GD34">
        <v>1</v>
      </c>
      <c r="GF34">
        <v>2045989861</v>
      </c>
      <c r="GG34">
        <v>2</v>
      </c>
      <c r="GH34">
        <v>1</v>
      </c>
      <c r="GI34">
        <v>2</v>
      </c>
      <c r="GJ34">
        <v>0</v>
      </c>
      <c r="GK34">
        <v>0</v>
      </c>
      <c r="GL34">
        <f t="shared" si="46"/>
        <v>0</v>
      </c>
      <c r="GM34">
        <f t="shared" si="47"/>
        <v>7134.08</v>
      </c>
      <c r="GN34">
        <f t="shared" si="48"/>
        <v>0</v>
      </c>
      <c r="GO34">
        <f t="shared" si="49"/>
        <v>7134.08</v>
      </c>
      <c r="GP34">
        <f t="shared" si="50"/>
        <v>0</v>
      </c>
      <c r="GR34">
        <v>0</v>
      </c>
      <c r="GS34">
        <v>3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HE34" t="s">
        <v>3</v>
      </c>
      <c r="HF34" t="s">
        <v>3</v>
      </c>
      <c r="HM34" t="s">
        <v>3</v>
      </c>
      <c r="HN34" t="s">
        <v>48</v>
      </c>
      <c r="HO34" t="s">
        <v>49</v>
      </c>
      <c r="HP34" t="s">
        <v>46</v>
      </c>
      <c r="HQ34" t="s">
        <v>46</v>
      </c>
      <c r="IK34">
        <v>0</v>
      </c>
    </row>
    <row r="35" spans="1:245" x14ac:dyDescent="0.2">
      <c r="A35">
        <v>17</v>
      </c>
      <c r="B35">
        <v>1</v>
      </c>
      <c r="C35">
        <f>ROW(SmtRes!A53)</f>
        <v>53</v>
      </c>
      <c r="D35">
        <f>ROW(EtalonRes!A53)</f>
        <v>53</v>
      </c>
      <c r="E35" t="s">
        <v>76</v>
      </c>
      <c r="F35" t="s">
        <v>77</v>
      </c>
      <c r="G35" t="s">
        <v>78</v>
      </c>
      <c r="H35" t="s">
        <v>43</v>
      </c>
      <c r="I35">
        <f>ROUND(80/100,9)</f>
        <v>0.8</v>
      </c>
      <c r="J35">
        <v>0</v>
      </c>
      <c r="K35">
        <f>ROUND(80/100,9)</f>
        <v>0.8</v>
      </c>
      <c r="O35">
        <f t="shared" si="14"/>
        <v>3386.88</v>
      </c>
      <c r="P35">
        <f t="shared" si="15"/>
        <v>431.33</v>
      </c>
      <c r="Q35">
        <f t="shared" si="16"/>
        <v>519.27</v>
      </c>
      <c r="R35">
        <f t="shared" si="17"/>
        <v>64.040000000000006</v>
      </c>
      <c r="S35">
        <f t="shared" si="18"/>
        <v>2436.2800000000002</v>
      </c>
      <c r="T35">
        <f t="shared" si="19"/>
        <v>0</v>
      </c>
      <c r="U35">
        <f t="shared" si="20"/>
        <v>8.1920000000000002</v>
      </c>
      <c r="V35">
        <f t="shared" si="21"/>
        <v>0.16000000000000003</v>
      </c>
      <c r="W35">
        <f t="shared" si="22"/>
        <v>0</v>
      </c>
      <c r="X35">
        <f t="shared" si="23"/>
        <v>2425.31</v>
      </c>
      <c r="Y35">
        <f t="shared" si="24"/>
        <v>1275.1600000000001</v>
      </c>
      <c r="AA35">
        <v>92408302</v>
      </c>
      <c r="AB35">
        <f t="shared" si="25"/>
        <v>207.19</v>
      </c>
      <c r="AC35">
        <f t="shared" si="26"/>
        <v>49.83</v>
      </c>
      <c r="AD35">
        <f t="shared" si="27"/>
        <v>65.3</v>
      </c>
      <c r="AE35">
        <f t="shared" si="28"/>
        <v>2.42</v>
      </c>
      <c r="AF35">
        <f t="shared" si="29"/>
        <v>92.06</v>
      </c>
      <c r="AG35">
        <f t="shared" si="30"/>
        <v>0</v>
      </c>
      <c r="AH35">
        <f t="shared" si="31"/>
        <v>10.24</v>
      </c>
      <c r="AI35">
        <f t="shared" si="32"/>
        <v>0.2</v>
      </c>
      <c r="AJ35">
        <f t="shared" si="33"/>
        <v>0</v>
      </c>
      <c r="AK35">
        <v>207.19</v>
      </c>
      <c r="AL35">
        <v>49.83</v>
      </c>
      <c r="AM35">
        <v>65.3</v>
      </c>
      <c r="AN35">
        <v>2.42</v>
      </c>
      <c r="AO35">
        <v>92.06</v>
      </c>
      <c r="AP35">
        <v>0</v>
      </c>
      <c r="AQ35">
        <v>10.24</v>
      </c>
      <c r="AR35">
        <v>0.2</v>
      </c>
      <c r="AS35">
        <v>0</v>
      </c>
      <c r="AT35">
        <v>97</v>
      </c>
      <c r="AU35">
        <v>51</v>
      </c>
      <c r="AV35">
        <v>1</v>
      </c>
      <c r="AW35">
        <v>1</v>
      </c>
      <c r="AZ35">
        <v>1</v>
      </c>
      <c r="BA35">
        <v>33.08</v>
      </c>
      <c r="BB35">
        <v>9.94</v>
      </c>
      <c r="BC35">
        <v>10.82</v>
      </c>
      <c r="BD35" t="s">
        <v>3</v>
      </c>
      <c r="BE35" t="s">
        <v>3</v>
      </c>
      <c r="BF35" t="s">
        <v>3</v>
      </c>
      <c r="BG35" t="s">
        <v>3</v>
      </c>
      <c r="BH35">
        <v>0</v>
      </c>
      <c r="BI35">
        <v>2</v>
      </c>
      <c r="BJ35" t="s">
        <v>79</v>
      </c>
      <c r="BM35">
        <v>108001</v>
      </c>
      <c r="BN35">
        <v>0</v>
      </c>
      <c r="BO35" t="s">
        <v>77</v>
      </c>
      <c r="BP35">
        <v>1</v>
      </c>
      <c r="BQ35">
        <v>3</v>
      </c>
      <c r="BR35">
        <v>0</v>
      </c>
      <c r="BS35">
        <v>33.08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97</v>
      </c>
      <c r="CA35">
        <v>51</v>
      </c>
      <c r="CB35" t="s">
        <v>3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3386.88</v>
      </c>
      <c r="CQ35">
        <f t="shared" si="35"/>
        <v>539.16060000000004</v>
      </c>
      <c r="CR35">
        <f t="shared" si="36"/>
        <v>649.08199999999999</v>
      </c>
      <c r="CS35">
        <f t="shared" si="37"/>
        <v>80.053599999999989</v>
      </c>
      <c r="CT35">
        <f t="shared" si="38"/>
        <v>3045.3447999999999</v>
      </c>
      <c r="CU35">
        <f t="shared" si="39"/>
        <v>0</v>
      </c>
      <c r="CV35">
        <f t="shared" si="40"/>
        <v>10.24</v>
      </c>
      <c r="CW35">
        <f t="shared" si="41"/>
        <v>0.2</v>
      </c>
      <c r="CX35">
        <f t="shared" si="42"/>
        <v>0</v>
      </c>
      <c r="CY35">
        <f t="shared" si="43"/>
        <v>2425.3104000000003</v>
      </c>
      <c r="CZ35">
        <f t="shared" si="44"/>
        <v>1275.1632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43</v>
      </c>
      <c r="DW35" t="s">
        <v>43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92107470</v>
      </c>
      <c r="EF35">
        <v>3</v>
      </c>
      <c r="EG35" t="s">
        <v>45</v>
      </c>
      <c r="EH35">
        <v>0</v>
      </c>
      <c r="EI35" t="s">
        <v>3</v>
      </c>
      <c r="EJ35">
        <v>2</v>
      </c>
      <c r="EK35">
        <v>108001</v>
      </c>
      <c r="EL35" t="s">
        <v>46</v>
      </c>
      <c r="EM35" t="s">
        <v>47</v>
      </c>
      <c r="EO35" t="s">
        <v>3</v>
      </c>
      <c r="EQ35">
        <v>0</v>
      </c>
      <c r="ER35">
        <v>207.19</v>
      </c>
      <c r="ES35">
        <v>49.83</v>
      </c>
      <c r="ET35">
        <v>65.3</v>
      </c>
      <c r="EU35">
        <v>2.42</v>
      </c>
      <c r="EV35">
        <v>92.06</v>
      </c>
      <c r="EW35">
        <v>10.24</v>
      </c>
      <c r="EX35">
        <v>0.2</v>
      </c>
      <c r="EY35">
        <v>0</v>
      </c>
      <c r="FQ35">
        <v>0</v>
      </c>
      <c r="FR35">
        <f t="shared" si="45"/>
        <v>0</v>
      </c>
      <c r="FS35">
        <v>0</v>
      </c>
      <c r="FX35">
        <v>97</v>
      </c>
      <c r="FY35">
        <v>51</v>
      </c>
      <c r="GA35" t="s">
        <v>3</v>
      </c>
      <c r="GD35">
        <v>1</v>
      </c>
      <c r="GF35">
        <v>-1724216060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6"/>
        <v>0</v>
      </c>
      <c r="GM35">
        <f t="shared" si="47"/>
        <v>7087.35</v>
      </c>
      <c r="GN35">
        <f t="shared" si="48"/>
        <v>0</v>
      </c>
      <c r="GO35">
        <f t="shared" si="49"/>
        <v>7087.35</v>
      </c>
      <c r="GP35">
        <f t="shared" si="50"/>
        <v>0</v>
      </c>
      <c r="GR35">
        <v>0</v>
      </c>
      <c r="GS35">
        <v>3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HE35" t="s">
        <v>3</v>
      </c>
      <c r="HF35" t="s">
        <v>3</v>
      </c>
      <c r="HM35" t="s">
        <v>3</v>
      </c>
      <c r="HN35" t="s">
        <v>48</v>
      </c>
      <c r="HO35" t="s">
        <v>49</v>
      </c>
      <c r="HP35" t="s">
        <v>46</v>
      </c>
      <c r="HQ35" t="s">
        <v>46</v>
      </c>
      <c r="IK35">
        <v>0</v>
      </c>
    </row>
    <row r="36" spans="1:245" x14ac:dyDescent="0.2">
      <c r="A36">
        <v>18</v>
      </c>
      <c r="B36">
        <v>1</v>
      </c>
      <c r="C36">
        <v>52</v>
      </c>
      <c r="E36" t="s">
        <v>80</v>
      </c>
      <c r="F36" t="s">
        <v>59</v>
      </c>
      <c r="G36" t="s">
        <v>60</v>
      </c>
      <c r="H36" t="s">
        <v>61</v>
      </c>
      <c r="I36">
        <f>I35*J36</f>
        <v>-0.4</v>
      </c>
      <c r="J36">
        <v>-0.5</v>
      </c>
      <c r="K36">
        <v>-0.5</v>
      </c>
      <c r="O36">
        <f t="shared" si="14"/>
        <v>-319.81</v>
      </c>
      <c r="P36">
        <f t="shared" si="15"/>
        <v>-319.81</v>
      </c>
      <c r="Q36">
        <f t="shared" si="16"/>
        <v>0</v>
      </c>
      <c r="R36">
        <f t="shared" si="17"/>
        <v>0</v>
      </c>
      <c r="S36">
        <f t="shared" si="18"/>
        <v>0</v>
      </c>
      <c r="T36">
        <f t="shared" si="19"/>
        <v>0</v>
      </c>
      <c r="U36">
        <f t="shared" si="20"/>
        <v>0</v>
      </c>
      <c r="V36">
        <f t="shared" si="21"/>
        <v>0</v>
      </c>
      <c r="W36">
        <f t="shared" si="22"/>
        <v>0</v>
      </c>
      <c r="X36">
        <f t="shared" si="23"/>
        <v>0</v>
      </c>
      <c r="Y36">
        <f t="shared" si="24"/>
        <v>0</v>
      </c>
      <c r="AA36">
        <v>92408302</v>
      </c>
      <c r="AB36">
        <f t="shared" si="25"/>
        <v>71.45</v>
      </c>
      <c r="AC36">
        <f t="shared" si="26"/>
        <v>71.45</v>
      </c>
      <c r="AD36">
        <f t="shared" si="27"/>
        <v>0</v>
      </c>
      <c r="AE36">
        <f t="shared" si="28"/>
        <v>0</v>
      </c>
      <c r="AF36">
        <f t="shared" si="29"/>
        <v>0</v>
      </c>
      <c r="AG36">
        <f t="shared" si="30"/>
        <v>0</v>
      </c>
      <c r="AH36">
        <f t="shared" si="31"/>
        <v>0</v>
      </c>
      <c r="AI36">
        <f t="shared" si="32"/>
        <v>0</v>
      </c>
      <c r="AJ36">
        <f t="shared" si="33"/>
        <v>0</v>
      </c>
      <c r="AK36">
        <v>71.45</v>
      </c>
      <c r="AL36">
        <v>71.45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97</v>
      </c>
      <c r="AU36">
        <v>51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11.19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2</v>
      </c>
      <c r="BJ36" t="s">
        <v>62</v>
      </c>
      <c r="BM36">
        <v>108001</v>
      </c>
      <c r="BN36">
        <v>0</v>
      </c>
      <c r="BO36" t="s">
        <v>59</v>
      </c>
      <c r="BP36">
        <v>1</v>
      </c>
      <c r="BQ36">
        <v>3</v>
      </c>
      <c r="BR36">
        <v>1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97</v>
      </c>
      <c r="CA36">
        <v>51</v>
      </c>
      <c r="CB36" t="s">
        <v>3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-319.81</v>
      </c>
      <c r="CQ36">
        <f t="shared" si="35"/>
        <v>799.52549999999997</v>
      </c>
      <c r="CR36">
        <f t="shared" si="36"/>
        <v>0</v>
      </c>
      <c r="CS36">
        <f t="shared" si="37"/>
        <v>0</v>
      </c>
      <c r="CT36">
        <f t="shared" si="38"/>
        <v>0</v>
      </c>
      <c r="CU36">
        <f t="shared" si="39"/>
        <v>0</v>
      </c>
      <c r="CV36">
        <f t="shared" si="40"/>
        <v>0</v>
      </c>
      <c r="CW36">
        <f t="shared" si="41"/>
        <v>0</v>
      </c>
      <c r="CX36">
        <f t="shared" si="42"/>
        <v>0</v>
      </c>
      <c r="CY36">
        <f t="shared" si="43"/>
        <v>0</v>
      </c>
      <c r="CZ36">
        <f t="shared" si="44"/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1009</v>
      </c>
      <c r="DV36" t="s">
        <v>61</v>
      </c>
      <c r="DW36" t="s">
        <v>61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92107470</v>
      </c>
      <c r="EF36">
        <v>3</v>
      </c>
      <c r="EG36" t="s">
        <v>45</v>
      </c>
      <c r="EH36">
        <v>0</v>
      </c>
      <c r="EI36" t="s">
        <v>3</v>
      </c>
      <c r="EJ36">
        <v>2</v>
      </c>
      <c r="EK36">
        <v>108001</v>
      </c>
      <c r="EL36" t="s">
        <v>46</v>
      </c>
      <c r="EM36" t="s">
        <v>47</v>
      </c>
      <c r="EO36" t="s">
        <v>3</v>
      </c>
      <c r="EQ36">
        <v>0</v>
      </c>
      <c r="ER36">
        <v>71.45</v>
      </c>
      <c r="ES36">
        <v>71.45</v>
      </c>
      <c r="ET36">
        <v>0</v>
      </c>
      <c r="EU36">
        <v>0</v>
      </c>
      <c r="EV36">
        <v>0</v>
      </c>
      <c r="EW36">
        <v>0</v>
      </c>
      <c r="EX36">
        <v>0</v>
      </c>
      <c r="FQ36">
        <v>0</v>
      </c>
      <c r="FR36">
        <f t="shared" si="45"/>
        <v>0</v>
      </c>
      <c r="FS36">
        <v>0</v>
      </c>
      <c r="FX36">
        <v>97</v>
      </c>
      <c r="FY36">
        <v>51</v>
      </c>
      <c r="GA36" t="s">
        <v>3</v>
      </c>
      <c r="GD36">
        <v>1</v>
      </c>
      <c r="GF36">
        <v>904967830</v>
      </c>
      <c r="GG36">
        <v>2</v>
      </c>
      <c r="GH36">
        <v>1</v>
      </c>
      <c r="GI36">
        <v>2</v>
      </c>
      <c r="GJ36">
        <v>0</v>
      </c>
      <c r="GK36">
        <v>0</v>
      </c>
      <c r="GL36">
        <f t="shared" si="46"/>
        <v>0</v>
      </c>
      <c r="GM36">
        <f t="shared" si="47"/>
        <v>-319.81</v>
      </c>
      <c r="GN36">
        <f t="shared" si="48"/>
        <v>0</v>
      </c>
      <c r="GO36">
        <f t="shared" si="49"/>
        <v>-319.81</v>
      </c>
      <c r="GP36">
        <f t="shared" si="50"/>
        <v>0</v>
      </c>
      <c r="GR36">
        <v>0</v>
      </c>
      <c r="GS36">
        <v>3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HE36" t="s">
        <v>3</v>
      </c>
      <c r="HF36" t="s">
        <v>3</v>
      </c>
      <c r="HM36" t="s">
        <v>3</v>
      </c>
      <c r="HN36" t="s">
        <v>48</v>
      </c>
      <c r="HO36" t="s">
        <v>49</v>
      </c>
      <c r="HP36" t="s">
        <v>46</v>
      </c>
      <c r="HQ36" t="s">
        <v>46</v>
      </c>
      <c r="IK36">
        <v>0</v>
      </c>
    </row>
    <row r="37" spans="1:245" x14ac:dyDescent="0.2">
      <c r="A37">
        <v>17</v>
      </c>
      <c r="B37">
        <v>1</v>
      </c>
      <c r="C37">
        <f>ROW(SmtRes!A58)</f>
        <v>58</v>
      </c>
      <c r="D37">
        <f>ROW(EtalonRes!A58)</f>
        <v>58</v>
      </c>
      <c r="E37" t="s">
        <v>81</v>
      </c>
      <c r="F37" t="s">
        <v>82</v>
      </c>
      <c r="G37" t="s">
        <v>83</v>
      </c>
      <c r="H37" t="s">
        <v>84</v>
      </c>
      <c r="I37">
        <v>8</v>
      </c>
      <c r="J37">
        <v>0</v>
      </c>
      <c r="K37">
        <v>8</v>
      </c>
      <c r="O37">
        <f t="shared" si="14"/>
        <v>1819.45</v>
      </c>
      <c r="P37">
        <f t="shared" si="15"/>
        <v>914.38</v>
      </c>
      <c r="Q37">
        <f t="shared" si="16"/>
        <v>0</v>
      </c>
      <c r="R37">
        <f t="shared" si="17"/>
        <v>0</v>
      </c>
      <c r="S37">
        <f t="shared" si="18"/>
        <v>905.07</v>
      </c>
      <c r="T37">
        <f t="shared" si="19"/>
        <v>0</v>
      </c>
      <c r="U37">
        <f t="shared" si="20"/>
        <v>3.04</v>
      </c>
      <c r="V37">
        <f t="shared" si="21"/>
        <v>0</v>
      </c>
      <c r="W37">
        <f t="shared" si="22"/>
        <v>0</v>
      </c>
      <c r="X37">
        <f t="shared" si="23"/>
        <v>877.92</v>
      </c>
      <c r="Y37">
        <f t="shared" si="24"/>
        <v>461.59</v>
      </c>
      <c r="AA37">
        <v>92408302</v>
      </c>
      <c r="AB37">
        <f t="shared" si="25"/>
        <v>18.68</v>
      </c>
      <c r="AC37">
        <f t="shared" si="26"/>
        <v>15.26</v>
      </c>
      <c r="AD37">
        <f t="shared" si="27"/>
        <v>0</v>
      </c>
      <c r="AE37">
        <f t="shared" si="28"/>
        <v>0</v>
      </c>
      <c r="AF37">
        <f t="shared" si="29"/>
        <v>3.42</v>
      </c>
      <c r="AG37">
        <f t="shared" si="30"/>
        <v>0</v>
      </c>
      <c r="AH37">
        <f t="shared" si="31"/>
        <v>0.38</v>
      </c>
      <c r="AI37">
        <f t="shared" si="32"/>
        <v>0</v>
      </c>
      <c r="AJ37">
        <f t="shared" si="33"/>
        <v>0</v>
      </c>
      <c r="AK37">
        <v>18.68</v>
      </c>
      <c r="AL37">
        <v>15.26</v>
      </c>
      <c r="AM37">
        <v>0</v>
      </c>
      <c r="AN37">
        <v>0</v>
      </c>
      <c r="AO37">
        <v>3.42</v>
      </c>
      <c r="AP37">
        <v>0</v>
      </c>
      <c r="AQ37">
        <v>0.38</v>
      </c>
      <c r="AR37">
        <v>0</v>
      </c>
      <c r="AS37">
        <v>0</v>
      </c>
      <c r="AT37">
        <v>97</v>
      </c>
      <c r="AU37">
        <v>51</v>
      </c>
      <c r="AV37">
        <v>1</v>
      </c>
      <c r="AW37">
        <v>1</v>
      </c>
      <c r="AZ37">
        <v>1</v>
      </c>
      <c r="BA37">
        <v>33.08</v>
      </c>
      <c r="BB37">
        <v>1</v>
      </c>
      <c r="BC37">
        <v>7.49</v>
      </c>
      <c r="BD37" t="s">
        <v>3</v>
      </c>
      <c r="BE37" t="s">
        <v>3</v>
      </c>
      <c r="BF37" t="s">
        <v>3</v>
      </c>
      <c r="BG37" t="s">
        <v>3</v>
      </c>
      <c r="BH37">
        <v>0</v>
      </c>
      <c r="BI37">
        <v>2</v>
      </c>
      <c r="BJ37" t="s">
        <v>85</v>
      </c>
      <c r="BM37">
        <v>108001</v>
      </c>
      <c r="BN37">
        <v>0</v>
      </c>
      <c r="BO37" t="s">
        <v>82</v>
      </c>
      <c r="BP37">
        <v>1</v>
      </c>
      <c r="BQ37">
        <v>3</v>
      </c>
      <c r="BR37">
        <v>0</v>
      </c>
      <c r="BS37">
        <v>33.08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97</v>
      </c>
      <c r="CA37">
        <v>51</v>
      </c>
      <c r="CB37" t="s">
        <v>3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1819.45</v>
      </c>
      <c r="CQ37">
        <f t="shared" si="35"/>
        <v>114.2974</v>
      </c>
      <c r="CR37">
        <f t="shared" si="36"/>
        <v>0</v>
      </c>
      <c r="CS37">
        <f t="shared" si="37"/>
        <v>0</v>
      </c>
      <c r="CT37">
        <f t="shared" si="38"/>
        <v>113.13359999999999</v>
      </c>
      <c r="CU37">
        <f t="shared" si="39"/>
        <v>0</v>
      </c>
      <c r="CV37">
        <f t="shared" si="40"/>
        <v>0.38</v>
      </c>
      <c r="CW37">
        <f t="shared" si="41"/>
        <v>0</v>
      </c>
      <c r="CX37">
        <f t="shared" si="42"/>
        <v>0</v>
      </c>
      <c r="CY37">
        <f t="shared" si="43"/>
        <v>877.91790000000003</v>
      </c>
      <c r="CZ37">
        <f t="shared" si="44"/>
        <v>461.58569999999997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1013</v>
      </c>
      <c r="DV37" t="s">
        <v>84</v>
      </c>
      <c r="DW37" t="s">
        <v>84</v>
      </c>
      <c r="DX37">
        <v>1</v>
      </c>
      <c r="DZ37" t="s">
        <v>3</v>
      </c>
      <c r="EA37" t="s">
        <v>3</v>
      </c>
      <c r="EB37" t="s">
        <v>3</v>
      </c>
      <c r="EC37" t="s">
        <v>3</v>
      </c>
      <c r="EE37">
        <v>92107470</v>
      </c>
      <c r="EF37">
        <v>3</v>
      </c>
      <c r="EG37" t="s">
        <v>45</v>
      </c>
      <c r="EH37">
        <v>0</v>
      </c>
      <c r="EI37" t="s">
        <v>3</v>
      </c>
      <c r="EJ37">
        <v>2</v>
      </c>
      <c r="EK37">
        <v>108001</v>
      </c>
      <c r="EL37" t="s">
        <v>46</v>
      </c>
      <c r="EM37" t="s">
        <v>47</v>
      </c>
      <c r="EO37" t="s">
        <v>3</v>
      </c>
      <c r="EQ37">
        <v>0</v>
      </c>
      <c r="ER37">
        <v>18.68</v>
      </c>
      <c r="ES37">
        <v>15.26</v>
      </c>
      <c r="ET37">
        <v>0</v>
      </c>
      <c r="EU37">
        <v>0</v>
      </c>
      <c r="EV37">
        <v>3.42</v>
      </c>
      <c r="EW37">
        <v>0.38</v>
      </c>
      <c r="EX37">
        <v>0</v>
      </c>
      <c r="EY37">
        <v>0</v>
      </c>
      <c r="FQ37">
        <v>0</v>
      </c>
      <c r="FR37">
        <f t="shared" si="45"/>
        <v>0</v>
      </c>
      <c r="FS37">
        <v>0</v>
      </c>
      <c r="FX37">
        <v>97</v>
      </c>
      <c r="FY37">
        <v>51</v>
      </c>
      <c r="GA37" t="s">
        <v>3</v>
      </c>
      <c r="GD37">
        <v>1</v>
      </c>
      <c r="GF37">
        <v>978687732</v>
      </c>
      <c r="GG37">
        <v>2</v>
      </c>
      <c r="GH37">
        <v>1</v>
      </c>
      <c r="GI37">
        <v>2</v>
      </c>
      <c r="GJ37">
        <v>0</v>
      </c>
      <c r="GK37">
        <v>0</v>
      </c>
      <c r="GL37">
        <f t="shared" si="46"/>
        <v>0</v>
      </c>
      <c r="GM37">
        <f t="shared" si="47"/>
        <v>3158.96</v>
      </c>
      <c r="GN37">
        <f t="shared" si="48"/>
        <v>0</v>
      </c>
      <c r="GO37">
        <f t="shared" si="49"/>
        <v>3158.96</v>
      </c>
      <c r="GP37">
        <f t="shared" si="50"/>
        <v>0</v>
      </c>
      <c r="GR37">
        <v>0</v>
      </c>
      <c r="GS37">
        <v>3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HE37" t="s">
        <v>3</v>
      </c>
      <c r="HF37" t="s">
        <v>3</v>
      </c>
      <c r="HM37" t="s">
        <v>3</v>
      </c>
      <c r="HN37" t="s">
        <v>48</v>
      </c>
      <c r="HO37" t="s">
        <v>49</v>
      </c>
      <c r="HP37" t="s">
        <v>46</v>
      </c>
      <c r="HQ37" t="s">
        <v>46</v>
      </c>
      <c r="IK37">
        <v>0</v>
      </c>
    </row>
    <row r="38" spans="1:245" x14ac:dyDescent="0.2">
      <c r="A38">
        <v>18</v>
      </c>
      <c r="B38">
        <v>1</v>
      </c>
      <c r="C38">
        <v>55</v>
      </c>
      <c r="E38" t="s">
        <v>86</v>
      </c>
      <c r="F38" t="s">
        <v>87</v>
      </c>
      <c r="G38" t="s">
        <v>88</v>
      </c>
      <c r="H38" t="s">
        <v>61</v>
      </c>
      <c r="I38">
        <f>I37*J38</f>
        <v>-1.2</v>
      </c>
      <c r="J38">
        <v>-0.15</v>
      </c>
      <c r="K38">
        <v>-0.15</v>
      </c>
      <c r="O38">
        <f t="shared" si="14"/>
        <v>-111.84</v>
      </c>
      <c r="P38">
        <f t="shared" si="15"/>
        <v>-111.84</v>
      </c>
      <c r="Q38">
        <f t="shared" si="16"/>
        <v>0</v>
      </c>
      <c r="R38">
        <f t="shared" si="17"/>
        <v>0</v>
      </c>
      <c r="S38">
        <f t="shared" si="18"/>
        <v>0</v>
      </c>
      <c r="T38">
        <f t="shared" si="19"/>
        <v>0</v>
      </c>
      <c r="U38">
        <f t="shared" si="20"/>
        <v>0</v>
      </c>
      <c r="V38">
        <f t="shared" si="21"/>
        <v>0</v>
      </c>
      <c r="W38">
        <f t="shared" si="22"/>
        <v>0</v>
      </c>
      <c r="X38">
        <f t="shared" si="23"/>
        <v>0</v>
      </c>
      <c r="Y38">
        <f t="shared" si="24"/>
        <v>0</v>
      </c>
      <c r="AA38">
        <v>92408302</v>
      </c>
      <c r="AB38">
        <f t="shared" si="25"/>
        <v>9.0399999999999991</v>
      </c>
      <c r="AC38">
        <f t="shared" si="26"/>
        <v>9.0399999999999991</v>
      </c>
      <c r="AD38">
        <f t="shared" si="27"/>
        <v>0</v>
      </c>
      <c r="AE38">
        <f t="shared" si="28"/>
        <v>0</v>
      </c>
      <c r="AF38">
        <f t="shared" si="29"/>
        <v>0</v>
      </c>
      <c r="AG38">
        <f t="shared" si="30"/>
        <v>0</v>
      </c>
      <c r="AH38">
        <f t="shared" si="31"/>
        <v>0</v>
      </c>
      <c r="AI38">
        <f t="shared" si="32"/>
        <v>0</v>
      </c>
      <c r="AJ38">
        <f t="shared" si="33"/>
        <v>0</v>
      </c>
      <c r="AK38">
        <v>9.0399999999999991</v>
      </c>
      <c r="AL38">
        <v>9.0399999999999991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97</v>
      </c>
      <c r="AU38">
        <v>51</v>
      </c>
      <c r="AV38">
        <v>1</v>
      </c>
      <c r="AW38">
        <v>1</v>
      </c>
      <c r="AZ38">
        <v>1</v>
      </c>
      <c r="BA38">
        <v>1</v>
      </c>
      <c r="BB38">
        <v>1</v>
      </c>
      <c r="BC38">
        <v>10.31</v>
      </c>
      <c r="BD38" t="s">
        <v>3</v>
      </c>
      <c r="BE38" t="s">
        <v>3</v>
      </c>
      <c r="BF38" t="s">
        <v>3</v>
      </c>
      <c r="BG38" t="s">
        <v>3</v>
      </c>
      <c r="BH38">
        <v>3</v>
      </c>
      <c r="BI38">
        <v>2</v>
      </c>
      <c r="BJ38" t="s">
        <v>89</v>
      </c>
      <c r="BM38">
        <v>108001</v>
      </c>
      <c r="BN38">
        <v>0</v>
      </c>
      <c r="BO38" t="s">
        <v>87</v>
      </c>
      <c r="BP38">
        <v>1</v>
      </c>
      <c r="BQ38">
        <v>3</v>
      </c>
      <c r="BR38">
        <v>1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97</v>
      </c>
      <c r="CA38">
        <v>51</v>
      </c>
      <c r="CB38" t="s">
        <v>3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34"/>
        <v>-111.84</v>
      </c>
      <c r="CQ38">
        <f t="shared" si="35"/>
        <v>93.202399999999997</v>
      </c>
      <c r="CR38">
        <f t="shared" si="36"/>
        <v>0</v>
      </c>
      <c r="CS38">
        <f t="shared" si="37"/>
        <v>0</v>
      </c>
      <c r="CT38">
        <f t="shared" si="38"/>
        <v>0</v>
      </c>
      <c r="CU38">
        <f t="shared" si="39"/>
        <v>0</v>
      </c>
      <c r="CV38">
        <f t="shared" si="40"/>
        <v>0</v>
      </c>
      <c r="CW38">
        <f t="shared" si="41"/>
        <v>0</v>
      </c>
      <c r="CX38">
        <f t="shared" si="42"/>
        <v>0</v>
      </c>
      <c r="CY38">
        <f t="shared" si="43"/>
        <v>0</v>
      </c>
      <c r="CZ38">
        <f t="shared" si="44"/>
        <v>0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1009</v>
      </c>
      <c r="DV38" t="s">
        <v>61</v>
      </c>
      <c r="DW38" t="s">
        <v>61</v>
      </c>
      <c r="DX38">
        <v>1</v>
      </c>
      <c r="DZ38" t="s">
        <v>3</v>
      </c>
      <c r="EA38" t="s">
        <v>3</v>
      </c>
      <c r="EB38" t="s">
        <v>3</v>
      </c>
      <c r="EC38" t="s">
        <v>3</v>
      </c>
      <c r="EE38">
        <v>92107470</v>
      </c>
      <c r="EF38">
        <v>3</v>
      </c>
      <c r="EG38" t="s">
        <v>45</v>
      </c>
      <c r="EH38">
        <v>0</v>
      </c>
      <c r="EI38" t="s">
        <v>3</v>
      </c>
      <c r="EJ38">
        <v>2</v>
      </c>
      <c r="EK38">
        <v>108001</v>
      </c>
      <c r="EL38" t="s">
        <v>46</v>
      </c>
      <c r="EM38" t="s">
        <v>47</v>
      </c>
      <c r="EO38" t="s">
        <v>3</v>
      </c>
      <c r="EQ38">
        <v>0</v>
      </c>
      <c r="ER38">
        <v>9.0399999999999991</v>
      </c>
      <c r="ES38">
        <v>9.0399999999999991</v>
      </c>
      <c r="ET38">
        <v>0</v>
      </c>
      <c r="EU38">
        <v>0</v>
      </c>
      <c r="EV38">
        <v>0</v>
      </c>
      <c r="EW38">
        <v>0</v>
      </c>
      <c r="EX38">
        <v>0</v>
      </c>
      <c r="FQ38">
        <v>0</v>
      </c>
      <c r="FR38">
        <f t="shared" si="45"/>
        <v>0</v>
      </c>
      <c r="FS38">
        <v>0</v>
      </c>
      <c r="FX38">
        <v>97</v>
      </c>
      <c r="FY38">
        <v>51</v>
      </c>
      <c r="GA38" t="s">
        <v>3</v>
      </c>
      <c r="GD38">
        <v>1</v>
      </c>
      <c r="GF38">
        <v>-1877976580</v>
      </c>
      <c r="GG38">
        <v>2</v>
      </c>
      <c r="GH38">
        <v>1</v>
      </c>
      <c r="GI38">
        <v>2</v>
      </c>
      <c r="GJ38">
        <v>0</v>
      </c>
      <c r="GK38">
        <v>0</v>
      </c>
      <c r="GL38">
        <f t="shared" si="46"/>
        <v>0</v>
      </c>
      <c r="GM38">
        <f t="shared" si="47"/>
        <v>-111.84</v>
      </c>
      <c r="GN38">
        <f t="shared" si="48"/>
        <v>0</v>
      </c>
      <c r="GO38">
        <f t="shared" si="49"/>
        <v>-111.84</v>
      </c>
      <c r="GP38">
        <f t="shared" si="50"/>
        <v>0</v>
      </c>
      <c r="GR38">
        <v>0</v>
      </c>
      <c r="GS38">
        <v>3</v>
      </c>
      <c r="GT38">
        <v>0</v>
      </c>
      <c r="GU38" t="s">
        <v>3</v>
      </c>
      <c r="GV38">
        <f t="shared" si="51"/>
        <v>0</v>
      </c>
      <c r="GW38">
        <v>1</v>
      </c>
      <c r="GX38">
        <f t="shared" si="52"/>
        <v>0</v>
      </c>
      <c r="HA38">
        <v>0</v>
      </c>
      <c r="HB38">
        <v>0</v>
      </c>
      <c r="HC38">
        <f t="shared" si="53"/>
        <v>0</v>
      </c>
      <c r="HE38" t="s">
        <v>3</v>
      </c>
      <c r="HF38" t="s">
        <v>3</v>
      </c>
      <c r="HM38" t="s">
        <v>3</v>
      </c>
      <c r="HN38" t="s">
        <v>48</v>
      </c>
      <c r="HO38" t="s">
        <v>49</v>
      </c>
      <c r="HP38" t="s">
        <v>46</v>
      </c>
      <c r="HQ38" t="s">
        <v>46</v>
      </c>
      <c r="IK38">
        <v>0</v>
      </c>
    </row>
    <row r="39" spans="1:245" x14ac:dyDescent="0.2">
      <c r="A39">
        <v>18</v>
      </c>
      <c r="B39">
        <v>1</v>
      </c>
      <c r="C39">
        <v>56</v>
      </c>
      <c r="E39" t="s">
        <v>90</v>
      </c>
      <c r="F39" t="s">
        <v>91</v>
      </c>
      <c r="G39" t="s">
        <v>92</v>
      </c>
      <c r="H39" t="s">
        <v>61</v>
      </c>
      <c r="I39">
        <f>I37*J39</f>
        <v>-5.76</v>
      </c>
      <c r="J39">
        <v>-0.72</v>
      </c>
      <c r="K39">
        <v>-0.72</v>
      </c>
      <c r="O39">
        <f t="shared" si="14"/>
        <v>-579.59</v>
      </c>
      <c r="P39">
        <f t="shared" si="15"/>
        <v>-579.59</v>
      </c>
      <c r="Q39">
        <f t="shared" si="16"/>
        <v>0</v>
      </c>
      <c r="R39">
        <f t="shared" si="17"/>
        <v>0</v>
      </c>
      <c r="S39">
        <f t="shared" si="18"/>
        <v>0</v>
      </c>
      <c r="T39">
        <f t="shared" si="19"/>
        <v>0</v>
      </c>
      <c r="U39">
        <f t="shared" si="20"/>
        <v>0</v>
      </c>
      <c r="V39">
        <f t="shared" si="21"/>
        <v>0</v>
      </c>
      <c r="W39">
        <f t="shared" si="22"/>
        <v>0</v>
      </c>
      <c r="X39">
        <f t="shared" si="23"/>
        <v>0</v>
      </c>
      <c r="Y39">
        <f t="shared" si="24"/>
        <v>0</v>
      </c>
      <c r="AA39">
        <v>92408302</v>
      </c>
      <c r="AB39">
        <f t="shared" si="25"/>
        <v>16.940000000000001</v>
      </c>
      <c r="AC39">
        <f t="shared" si="26"/>
        <v>16.940000000000001</v>
      </c>
      <c r="AD39">
        <f t="shared" si="27"/>
        <v>0</v>
      </c>
      <c r="AE39">
        <f t="shared" si="28"/>
        <v>0</v>
      </c>
      <c r="AF39">
        <f t="shared" si="29"/>
        <v>0</v>
      </c>
      <c r="AG39">
        <f t="shared" si="30"/>
        <v>0</v>
      </c>
      <c r="AH39">
        <f t="shared" si="31"/>
        <v>0</v>
      </c>
      <c r="AI39">
        <f t="shared" si="32"/>
        <v>0</v>
      </c>
      <c r="AJ39">
        <f t="shared" si="33"/>
        <v>0</v>
      </c>
      <c r="AK39">
        <v>16.940000000000001</v>
      </c>
      <c r="AL39">
        <v>16.940000000000001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97</v>
      </c>
      <c r="AU39">
        <v>51</v>
      </c>
      <c r="AV39">
        <v>1</v>
      </c>
      <c r="AW39">
        <v>1</v>
      </c>
      <c r="AZ39">
        <v>1</v>
      </c>
      <c r="BA39">
        <v>1</v>
      </c>
      <c r="BB39">
        <v>1</v>
      </c>
      <c r="BC39">
        <v>5.94</v>
      </c>
      <c r="BD39" t="s">
        <v>3</v>
      </c>
      <c r="BE39" t="s">
        <v>3</v>
      </c>
      <c r="BF39" t="s">
        <v>3</v>
      </c>
      <c r="BG39" t="s">
        <v>3</v>
      </c>
      <c r="BH39">
        <v>3</v>
      </c>
      <c r="BI39">
        <v>2</v>
      </c>
      <c r="BJ39" t="s">
        <v>93</v>
      </c>
      <c r="BM39">
        <v>108001</v>
      </c>
      <c r="BN39">
        <v>0</v>
      </c>
      <c r="BO39" t="s">
        <v>91</v>
      </c>
      <c r="BP39">
        <v>1</v>
      </c>
      <c r="BQ39">
        <v>3</v>
      </c>
      <c r="BR39">
        <v>1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97</v>
      </c>
      <c r="CA39">
        <v>51</v>
      </c>
      <c r="CB39" t="s">
        <v>3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34"/>
        <v>-579.59</v>
      </c>
      <c r="CQ39">
        <f t="shared" si="35"/>
        <v>100.62360000000001</v>
      </c>
      <c r="CR39">
        <f t="shared" si="36"/>
        <v>0</v>
      </c>
      <c r="CS39">
        <f t="shared" si="37"/>
        <v>0</v>
      </c>
      <c r="CT39">
        <f t="shared" si="38"/>
        <v>0</v>
      </c>
      <c r="CU39">
        <f t="shared" si="39"/>
        <v>0</v>
      </c>
      <c r="CV39">
        <f t="shared" si="40"/>
        <v>0</v>
      </c>
      <c r="CW39">
        <f t="shared" si="41"/>
        <v>0</v>
      </c>
      <c r="CX39">
        <f t="shared" si="42"/>
        <v>0</v>
      </c>
      <c r="CY39">
        <f t="shared" si="43"/>
        <v>0</v>
      </c>
      <c r="CZ39">
        <f t="shared" si="44"/>
        <v>0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1009</v>
      </c>
      <c r="DV39" t="s">
        <v>61</v>
      </c>
      <c r="DW39" t="s">
        <v>61</v>
      </c>
      <c r="DX39">
        <v>1</v>
      </c>
      <c r="DZ39" t="s">
        <v>3</v>
      </c>
      <c r="EA39" t="s">
        <v>3</v>
      </c>
      <c r="EB39" t="s">
        <v>3</v>
      </c>
      <c r="EC39" t="s">
        <v>3</v>
      </c>
      <c r="EE39">
        <v>92107470</v>
      </c>
      <c r="EF39">
        <v>3</v>
      </c>
      <c r="EG39" t="s">
        <v>45</v>
      </c>
      <c r="EH39">
        <v>0</v>
      </c>
      <c r="EI39" t="s">
        <v>3</v>
      </c>
      <c r="EJ39">
        <v>2</v>
      </c>
      <c r="EK39">
        <v>108001</v>
      </c>
      <c r="EL39" t="s">
        <v>46</v>
      </c>
      <c r="EM39" t="s">
        <v>47</v>
      </c>
      <c r="EO39" t="s">
        <v>3</v>
      </c>
      <c r="EQ39">
        <v>0</v>
      </c>
      <c r="ER39">
        <v>16.940000000000001</v>
      </c>
      <c r="ES39">
        <v>16.940000000000001</v>
      </c>
      <c r="ET39">
        <v>0</v>
      </c>
      <c r="EU39">
        <v>0</v>
      </c>
      <c r="EV39">
        <v>0</v>
      </c>
      <c r="EW39">
        <v>0</v>
      </c>
      <c r="EX39">
        <v>0</v>
      </c>
      <c r="FQ39">
        <v>0</v>
      </c>
      <c r="FR39">
        <f t="shared" si="45"/>
        <v>0</v>
      </c>
      <c r="FS39">
        <v>0</v>
      </c>
      <c r="FX39">
        <v>97</v>
      </c>
      <c r="FY39">
        <v>51</v>
      </c>
      <c r="GA39" t="s">
        <v>3</v>
      </c>
      <c r="GD39">
        <v>1</v>
      </c>
      <c r="GF39">
        <v>-1685396289</v>
      </c>
      <c r="GG39">
        <v>2</v>
      </c>
      <c r="GH39">
        <v>1</v>
      </c>
      <c r="GI39">
        <v>2</v>
      </c>
      <c r="GJ39">
        <v>0</v>
      </c>
      <c r="GK39">
        <v>0</v>
      </c>
      <c r="GL39">
        <f t="shared" si="46"/>
        <v>0</v>
      </c>
      <c r="GM39">
        <f t="shared" si="47"/>
        <v>-579.59</v>
      </c>
      <c r="GN39">
        <f t="shared" si="48"/>
        <v>0</v>
      </c>
      <c r="GO39">
        <f t="shared" si="49"/>
        <v>-579.59</v>
      </c>
      <c r="GP39">
        <f t="shared" si="50"/>
        <v>0</v>
      </c>
      <c r="GR39">
        <v>0</v>
      </c>
      <c r="GS39">
        <v>3</v>
      </c>
      <c r="GT39">
        <v>0</v>
      </c>
      <c r="GU39" t="s">
        <v>3</v>
      </c>
      <c r="GV39">
        <f t="shared" si="51"/>
        <v>0</v>
      </c>
      <c r="GW39">
        <v>1</v>
      </c>
      <c r="GX39">
        <f t="shared" si="52"/>
        <v>0</v>
      </c>
      <c r="HA39">
        <v>0</v>
      </c>
      <c r="HB39">
        <v>0</v>
      </c>
      <c r="HC39">
        <f t="shared" si="53"/>
        <v>0</v>
      </c>
      <c r="HE39" t="s">
        <v>3</v>
      </c>
      <c r="HF39" t="s">
        <v>3</v>
      </c>
      <c r="HM39" t="s">
        <v>3</v>
      </c>
      <c r="HN39" t="s">
        <v>48</v>
      </c>
      <c r="HO39" t="s">
        <v>49</v>
      </c>
      <c r="HP39" t="s">
        <v>46</v>
      </c>
      <c r="HQ39" t="s">
        <v>46</v>
      </c>
      <c r="IK39">
        <v>0</v>
      </c>
    </row>
    <row r="40" spans="1:245" x14ac:dyDescent="0.2">
      <c r="A40">
        <v>18</v>
      </c>
      <c r="B40">
        <v>1</v>
      </c>
      <c r="C40">
        <v>57</v>
      </c>
      <c r="E40" t="s">
        <v>94</v>
      </c>
      <c r="F40" t="s">
        <v>95</v>
      </c>
      <c r="G40" t="s">
        <v>96</v>
      </c>
      <c r="H40" t="s">
        <v>97</v>
      </c>
      <c r="I40">
        <f>I37*J40</f>
        <v>-4.8000000000000001E-4</v>
      </c>
      <c r="J40">
        <v>-6.0000000000000002E-5</v>
      </c>
      <c r="K40">
        <v>-6.0000000000000002E-5</v>
      </c>
      <c r="O40">
        <f t="shared" si="14"/>
        <v>-205.75</v>
      </c>
      <c r="P40">
        <f t="shared" si="15"/>
        <v>-205.75</v>
      </c>
      <c r="Q40">
        <f t="shared" si="16"/>
        <v>0</v>
      </c>
      <c r="R40">
        <f t="shared" si="17"/>
        <v>0</v>
      </c>
      <c r="S40">
        <f t="shared" si="18"/>
        <v>0</v>
      </c>
      <c r="T40">
        <f t="shared" si="19"/>
        <v>0</v>
      </c>
      <c r="U40">
        <f t="shared" si="20"/>
        <v>0</v>
      </c>
      <c r="V40">
        <f t="shared" si="21"/>
        <v>0</v>
      </c>
      <c r="W40">
        <f t="shared" si="22"/>
        <v>0</v>
      </c>
      <c r="X40">
        <f t="shared" si="23"/>
        <v>0</v>
      </c>
      <c r="Y40">
        <f t="shared" si="24"/>
        <v>0</v>
      </c>
      <c r="AA40">
        <v>92408302</v>
      </c>
      <c r="AB40">
        <f t="shared" si="25"/>
        <v>27354.25</v>
      </c>
      <c r="AC40">
        <f t="shared" si="26"/>
        <v>27354.25</v>
      </c>
      <c r="AD40">
        <f t="shared" si="27"/>
        <v>0</v>
      </c>
      <c r="AE40">
        <f t="shared" si="28"/>
        <v>0</v>
      </c>
      <c r="AF40">
        <f t="shared" si="29"/>
        <v>0</v>
      </c>
      <c r="AG40">
        <f t="shared" si="30"/>
        <v>0</v>
      </c>
      <c r="AH40">
        <f t="shared" si="31"/>
        <v>0</v>
      </c>
      <c r="AI40">
        <f t="shared" si="32"/>
        <v>0</v>
      </c>
      <c r="AJ40">
        <f t="shared" si="33"/>
        <v>0</v>
      </c>
      <c r="AK40">
        <v>27354.25</v>
      </c>
      <c r="AL40">
        <v>27354.25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97</v>
      </c>
      <c r="AU40">
        <v>51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15.67</v>
      </c>
      <c r="BD40" t="s">
        <v>3</v>
      </c>
      <c r="BE40" t="s">
        <v>3</v>
      </c>
      <c r="BF40" t="s">
        <v>3</v>
      </c>
      <c r="BG40" t="s">
        <v>3</v>
      </c>
      <c r="BH40">
        <v>3</v>
      </c>
      <c r="BI40">
        <v>2</v>
      </c>
      <c r="BJ40" t="s">
        <v>98</v>
      </c>
      <c r="BM40">
        <v>108001</v>
      </c>
      <c r="BN40">
        <v>0</v>
      </c>
      <c r="BO40" t="s">
        <v>95</v>
      </c>
      <c r="BP40">
        <v>1</v>
      </c>
      <c r="BQ40">
        <v>3</v>
      </c>
      <c r="BR40">
        <v>1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97</v>
      </c>
      <c r="CA40">
        <v>51</v>
      </c>
      <c r="CB40" t="s">
        <v>3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34"/>
        <v>-205.75</v>
      </c>
      <c r="CQ40">
        <f t="shared" si="35"/>
        <v>428641.09749999997</v>
      </c>
      <c r="CR40">
        <f t="shared" si="36"/>
        <v>0</v>
      </c>
      <c r="CS40">
        <f t="shared" si="37"/>
        <v>0</v>
      </c>
      <c r="CT40">
        <f t="shared" si="38"/>
        <v>0</v>
      </c>
      <c r="CU40">
        <f t="shared" si="39"/>
        <v>0</v>
      </c>
      <c r="CV40">
        <f t="shared" si="40"/>
        <v>0</v>
      </c>
      <c r="CW40">
        <f t="shared" si="41"/>
        <v>0</v>
      </c>
      <c r="CX40">
        <f t="shared" si="42"/>
        <v>0</v>
      </c>
      <c r="CY40">
        <f t="shared" si="43"/>
        <v>0</v>
      </c>
      <c r="CZ40">
        <f t="shared" si="44"/>
        <v>0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1009</v>
      </c>
      <c r="DV40" t="s">
        <v>97</v>
      </c>
      <c r="DW40" t="s">
        <v>97</v>
      </c>
      <c r="DX40">
        <v>1000</v>
      </c>
      <c r="DZ40" t="s">
        <v>3</v>
      </c>
      <c r="EA40" t="s">
        <v>3</v>
      </c>
      <c r="EB40" t="s">
        <v>3</v>
      </c>
      <c r="EC40" t="s">
        <v>3</v>
      </c>
      <c r="EE40">
        <v>92107470</v>
      </c>
      <c r="EF40">
        <v>3</v>
      </c>
      <c r="EG40" t="s">
        <v>45</v>
      </c>
      <c r="EH40">
        <v>0</v>
      </c>
      <c r="EI40" t="s">
        <v>3</v>
      </c>
      <c r="EJ40">
        <v>2</v>
      </c>
      <c r="EK40">
        <v>108001</v>
      </c>
      <c r="EL40" t="s">
        <v>46</v>
      </c>
      <c r="EM40" t="s">
        <v>47</v>
      </c>
      <c r="EO40" t="s">
        <v>3</v>
      </c>
      <c r="EQ40">
        <v>0</v>
      </c>
      <c r="ER40">
        <v>27354.25</v>
      </c>
      <c r="ES40">
        <v>27354.25</v>
      </c>
      <c r="ET40">
        <v>0</v>
      </c>
      <c r="EU40">
        <v>0</v>
      </c>
      <c r="EV40">
        <v>0</v>
      </c>
      <c r="EW40">
        <v>0</v>
      </c>
      <c r="EX40">
        <v>0</v>
      </c>
      <c r="FQ40">
        <v>0</v>
      </c>
      <c r="FR40">
        <f t="shared" si="45"/>
        <v>0</v>
      </c>
      <c r="FS40">
        <v>0</v>
      </c>
      <c r="FX40">
        <v>97</v>
      </c>
      <c r="FY40">
        <v>51</v>
      </c>
      <c r="GA40" t="s">
        <v>3</v>
      </c>
      <c r="GD40">
        <v>1</v>
      </c>
      <c r="GF40">
        <v>1829992141</v>
      </c>
      <c r="GG40">
        <v>2</v>
      </c>
      <c r="GH40">
        <v>1</v>
      </c>
      <c r="GI40">
        <v>2</v>
      </c>
      <c r="GJ40">
        <v>0</v>
      </c>
      <c r="GK40">
        <v>0</v>
      </c>
      <c r="GL40">
        <f t="shared" si="46"/>
        <v>0</v>
      </c>
      <c r="GM40">
        <f t="shared" si="47"/>
        <v>-205.75</v>
      </c>
      <c r="GN40">
        <f t="shared" si="48"/>
        <v>0</v>
      </c>
      <c r="GO40">
        <f t="shared" si="49"/>
        <v>-205.75</v>
      </c>
      <c r="GP40">
        <f t="shared" si="50"/>
        <v>0</v>
      </c>
      <c r="GR40">
        <v>0</v>
      </c>
      <c r="GS40">
        <v>3</v>
      </c>
      <c r="GT40">
        <v>0</v>
      </c>
      <c r="GU40" t="s">
        <v>3</v>
      </c>
      <c r="GV40">
        <f t="shared" si="51"/>
        <v>0</v>
      </c>
      <c r="GW40">
        <v>1</v>
      </c>
      <c r="GX40">
        <f t="shared" si="52"/>
        <v>0</v>
      </c>
      <c r="HA40">
        <v>0</v>
      </c>
      <c r="HB40">
        <v>0</v>
      </c>
      <c r="HC40">
        <f t="shared" si="53"/>
        <v>0</v>
      </c>
      <c r="HE40" t="s">
        <v>3</v>
      </c>
      <c r="HF40" t="s">
        <v>3</v>
      </c>
      <c r="HM40" t="s">
        <v>3</v>
      </c>
      <c r="HN40" t="s">
        <v>48</v>
      </c>
      <c r="HO40" t="s">
        <v>49</v>
      </c>
      <c r="HP40" t="s">
        <v>46</v>
      </c>
      <c r="HQ40" t="s">
        <v>46</v>
      </c>
      <c r="IK40">
        <v>0</v>
      </c>
    </row>
    <row r="41" spans="1:245" x14ac:dyDescent="0.2">
      <c r="A41">
        <v>18</v>
      </c>
      <c r="B41">
        <v>1</v>
      </c>
      <c r="C41">
        <v>58</v>
      </c>
      <c r="E41" t="s">
        <v>99</v>
      </c>
      <c r="F41" t="s">
        <v>100</v>
      </c>
      <c r="G41" t="s">
        <v>101</v>
      </c>
      <c r="H41" t="s">
        <v>102</v>
      </c>
      <c r="I41">
        <f>I37*J41</f>
        <v>-0.56000000000000005</v>
      </c>
      <c r="J41">
        <v>-7.0000000000000007E-2</v>
      </c>
      <c r="K41">
        <v>-7.0000000000000007E-2</v>
      </c>
      <c r="O41">
        <f t="shared" si="14"/>
        <v>-0.56000000000000005</v>
      </c>
      <c r="P41">
        <f t="shared" si="15"/>
        <v>-0.56000000000000005</v>
      </c>
      <c r="Q41">
        <f t="shared" si="16"/>
        <v>0</v>
      </c>
      <c r="R41">
        <f t="shared" si="17"/>
        <v>0</v>
      </c>
      <c r="S41">
        <f t="shared" si="18"/>
        <v>0</v>
      </c>
      <c r="T41">
        <f t="shared" si="19"/>
        <v>0</v>
      </c>
      <c r="U41">
        <f t="shared" si="20"/>
        <v>0</v>
      </c>
      <c r="V41">
        <f t="shared" si="21"/>
        <v>0</v>
      </c>
      <c r="W41">
        <f t="shared" si="22"/>
        <v>0</v>
      </c>
      <c r="X41">
        <f t="shared" si="23"/>
        <v>0</v>
      </c>
      <c r="Y41">
        <f t="shared" si="24"/>
        <v>0</v>
      </c>
      <c r="AA41">
        <v>92408302</v>
      </c>
      <c r="AB41">
        <f t="shared" si="25"/>
        <v>1</v>
      </c>
      <c r="AC41">
        <f t="shared" si="26"/>
        <v>1</v>
      </c>
      <c r="AD41">
        <f t="shared" si="27"/>
        <v>0</v>
      </c>
      <c r="AE41">
        <f t="shared" si="28"/>
        <v>0</v>
      </c>
      <c r="AF41">
        <f t="shared" si="29"/>
        <v>0</v>
      </c>
      <c r="AG41">
        <f t="shared" si="30"/>
        <v>0</v>
      </c>
      <c r="AH41">
        <f t="shared" si="31"/>
        <v>0</v>
      </c>
      <c r="AI41">
        <f t="shared" si="32"/>
        <v>0</v>
      </c>
      <c r="AJ41">
        <f t="shared" si="33"/>
        <v>0</v>
      </c>
      <c r="AK41">
        <v>1</v>
      </c>
      <c r="AL41">
        <v>1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97</v>
      </c>
      <c r="AU41">
        <v>51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1</v>
      </c>
      <c r="BD41" t="s">
        <v>3</v>
      </c>
      <c r="BE41" t="s">
        <v>3</v>
      </c>
      <c r="BF41" t="s">
        <v>3</v>
      </c>
      <c r="BG41" t="s">
        <v>3</v>
      </c>
      <c r="BH41">
        <v>3</v>
      </c>
      <c r="BI41">
        <v>2</v>
      </c>
      <c r="BJ41" t="s">
        <v>103</v>
      </c>
      <c r="BM41">
        <v>108001</v>
      </c>
      <c r="BN41">
        <v>0</v>
      </c>
      <c r="BO41" t="s">
        <v>3</v>
      </c>
      <c r="BP41">
        <v>0</v>
      </c>
      <c r="BQ41">
        <v>3</v>
      </c>
      <c r="BR41">
        <v>1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97</v>
      </c>
      <c r="CA41">
        <v>51</v>
      </c>
      <c r="CB41" t="s">
        <v>3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34"/>
        <v>-0.56000000000000005</v>
      </c>
      <c r="CQ41">
        <f t="shared" si="35"/>
        <v>1</v>
      </c>
      <c r="CR41">
        <f t="shared" si="36"/>
        <v>0</v>
      </c>
      <c r="CS41">
        <f t="shared" si="37"/>
        <v>0</v>
      </c>
      <c r="CT41">
        <f t="shared" si="38"/>
        <v>0</v>
      </c>
      <c r="CU41">
        <f t="shared" si="39"/>
        <v>0</v>
      </c>
      <c r="CV41">
        <f t="shared" si="40"/>
        <v>0</v>
      </c>
      <c r="CW41">
        <f t="shared" si="41"/>
        <v>0</v>
      </c>
      <c r="CX41">
        <f t="shared" si="42"/>
        <v>0</v>
      </c>
      <c r="CY41">
        <f t="shared" si="43"/>
        <v>0</v>
      </c>
      <c r="CZ41">
        <f t="shared" si="44"/>
        <v>0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1013</v>
      </c>
      <c r="DV41" t="s">
        <v>102</v>
      </c>
      <c r="DW41" t="s">
        <v>102</v>
      </c>
      <c r="DX41">
        <v>1</v>
      </c>
      <c r="DZ41" t="s">
        <v>3</v>
      </c>
      <c r="EA41" t="s">
        <v>3</v>
      </c>
      <c r="EB41" t="s">
        <v>3</v>
      </c>
      <c r="EC41" t="s">
        <v>3</v>
      </c>
      <c r="EE41">
        <v>92107470</v>
      </c>
      <c r="EF41">
        <v>3</v>
      </c>
      <c r="EG41" t="s">
        <v>45</v>
      </c>
      <c r="EH41">
        <v>0</v>
      </c>
      <c r="EI41" t="s">
        <v>3</v>
      </c>
      <c r="EJ41">
        <v>2</v>
      </c>
      <c r="EK41">
        <v>108001</v>
      </c>
      <c r="EL41" t="s">
        <v>46</v>
      </c>
      <c r="EM41" t="s">
        <v>47</v>
      </c>
      <c r="EO41" t="s">
        <v>3</v>
      </c>
      <c r="EQ41">
        <v>0</v>
      </c>
      <c r="ER41">
        <v>1</v>
      </c>
      <c r="ES41">
        <v>1</v>
      </c>
      <c r="ET41">
        <v>0</v>
      </c>
      <c r="EU41">
        <v>0</v>
      </c>
      <c r="EV41">
        <v>0</v>
      </c>
      <c r="EW41">
        <v>0</v>
      </c>
      <c r="EX41">
        <v>0</v>
      </c>
      <c r="FQ41">
        <v>0</v>
      </c>
      <c r="FR41">
        <f t="shared" si="45"/>
        <v>0</v>
      </c>
      <c r="FS41">
        <v>0</v>
      </c>
      <c r="FX41">
        <v>97</v>
      </c>
      <c r="FY41">
        <v>51</v>
      </c>
      <c r="GA41" t="s">
        <v>3</v>
      </c>
      <c r="GD41">
        <v>1</v>
      </c>
      <c r="GF41">
        <v>2131831278</v>
      </c>
      <c r="GG41">
        <v>2</v>
      </c>
      <c r="GH41">
        <v>1</v>
      </c>
      <c r="GI41">
        <v>-2</v>
      </c>
      <c r="GJ41">
        <v>0</v>
      </c>
      <c r="GK41">
        <v>0</v>
      </c>
      <c r="GL41">
        <f t="shared" si="46"/>
        <v>0</v>
      </c>
      <c r="GM41">
        <f t="shared" si="47"/>
        <v>-0.56000000000000005</v>
      </c>
      <c r="GN41">
        <f t="shared" si="48"/>
        <v>0</v>
      </c>
      <c r="GO41">
        <f t="shared" si="49"/>
        <v>-0.56000000000000005</v>
      </c>
      <c r="GP41">
        <f t="shared" si="50"/>
        <v>0</v>
      </c>
      <c r="GR41">
        <v>0</v>
      </c>
      <c r="GS41">
        <v>3</v>
      </c>
      <c r="GT41">
        <v>0</v>
      </c>
      <c r="GU41" t="s">
        <v>3</v>
      </c>
      <c r="GV41">
        <f t="shared" si="51"/>
        <v>0</v>
      </c>
      <c r="GW41">
        <v>1</v>
      </c>
      <c r="GX41">
        <f t="shared" si="52"/>
        <v>0</v>
      </c>
      <c r="HA41">
        <v>0</v>
      </c>
      <c r="HB41">
        <v>0</v>
      </c>
      <c r="HC41">
        <f t="shared" si="53"/>
        <v>0</v>
      </c>
      <c r="HE41" t="s">
        <v>3</v>
      </c>
      <c r="HF41" t="s">
        <v>3</v>
      </c>
      <c r="HM41" t="s">
        <v>3</v>
      </c>
      <c r="HN41" t="s">
        <v>48</v>
      </c>
      <c r="HO41" t="s">
        <v>49</v>
      </c>
      <c r="HP41" t="s">
        <v>46</v>
      </c>
      <c r="HQ41" t="s">
        <v>46</v>
      </c>
      <c r="IK41">
        <v>0</v>
      </c>
    </row>
    <row r="42" spans="1:245" x14ac:dyDescent="0.2">
      <c r="A42">
        <v>17</v>
      </c>
      <c r="B42">
        <v>1</v>
      </c>
      <c r="C42">
        <f>ROW(SmtRes!A67)</f>
        <v>67</v>
      </c>
      <c r="D42">
        <f>ROW(EtalonRes!A67)</f>
        <v>67</v>
      </c>
      <c r="E42" t="s">
        <v>104</v>
      </c>
      <c r="F42" t="s">
        <v>105</v>
      </c>
      <c r="G42" t="s">
        <v>106</v>
      </c>
      <c r="H42" t="s">
        <v>107</v>
      </c>
      <c r="I42">
        <v>4</v>
      </c>
      <c r="J42">
        <v>0</v>
      </c>
      <c r="K42">
        <v>4</v>
      </c>
      <c r="O42">
        <f t="shared" si="14"/>
        <v>2135.7199999999998</v>
      </c>
      <c r="P42">
        <f t="shared" si="15"/>
        <v>431.6</v>
      </c>
      <c r="Q42">
        <f t="shared" si="16"/>
        <v>109.66</v>
      </c>
      <c r="R42">
        <f t="shared" si="17"/>
        <v>15.88</v>
      </c>
      <c r="S42">
        <f t="shared" si="18"/>
        <v>1594.46</v>
      </c>
      <c r="T42">
        <f t="shared" si="19"/>
        <v>0</v>
      </c>
      <c r="U42">
        <f t="shared" si="20"/>
        <v>5.36</v>
      </c>
      <c r="V42">
        <f t="shared" si="21"/>
        <v>0.04</v>
      </c>
      <c r="W42">
        <f t="shared" si="22"/>
        <v>0</v>
      </c>
      <c r="X42">
        <f t="shared" si="23"/>
        <v>1562.03</v>
      </c>
      <c r="Y42">
        <f t="shared" si="24"/>
        <v>821.27</v>
      </c>
      <c r="AA42">
        <v>92408302</v>
      </c>
      <c r="AB42">
        <f t="shared" si="25"/>
        <v>19.559999999999999</v>
      </c>
      <c r="AC42">
        <f t="shared" si="26"/>
        <v>5.21</v>
      </c>
      <c r="AD42">
        <f t="shared" si="27"/>
        <v>2.2999999999999998</v>
      </c>
      <c r="AE42">
        <f t="shared" si="28"/>
        <v>0.12</v>
      </c>
      <c r="AF42">
        <f t="shared" si="29"/>
        <v>12.05</v>
      </c>
      <c r="AG42">
        <f t="shared" si="30"/>
        <v>0</v>
      </c>
      <c r="AH42">
        <f t="shared" si="31"/>
        <v>1.34</v>
      </c>
      <c r="AI42">
        <f t="shared" si="32"/>
        <v>0.01</v>
      </c>
      <c r="AJ42">
        <f t="shared" si="33"/>
        <v>0</v>
      </c>
      <c r="AK42">
        <v>19.559999999999999</v>
      </c>
      <c r="AL42">
        <v>5.21</v>
      </c>
      <c r="AM42">
        <v>2.2999999999999998</v>
      </c>
      <c r="AN42">
        <v>0.12</v>
      </c>
      <c r="AO42">
        <v>12.05</v>
      </c>
      <c r="AP42">
        <v>0</v>
      </c>
      <c r="AQ42">
        <v>1.34</v>
      </c>
      <c r="AR42">
        <v>0.01</v>
      </c>
      <c r="AS42">
        <v>0</v>
      </c>
      <c r="AT42">
        <v>97</v>
      </c>
      <c r="AU42">
        <v>51</v>
      </c>
      <c r="AV42">
        <v>1</v>
      </c>
      <c r="AW42">
        <v>1</v>
      </c>
      <c r="AZ42">
        <v>1</v>
      </c>
      <c r="BA42">
        <v>33.08</v>
      </c>
      <c r="BB42">
        <v>11.92</v>
      </c>
      <c r="BC42">
        <v>20.71</v>
      </c>
      <c r="BD42" t="s">
        <v>3</v>
      </c>
      <c r="BE42" t="s">
        <v>3</v>
      </c>
      <c r="BF42" t="s">
        <v>3</v>
      </c>
      <c r="BG42" t="s">
        <v>3</v>
      </c>
      <c r="BH42">
        <v>0</v>
      </c>
      <c r="BI42">
        <v>2</v>
      </c>
      <c r="BJ42" t="s">
        <v>108</v>
      </c>
      <c r="BM42">
        <v>108001</v>
      </c>
      <c r="BN42">
        <v>0</v>
      </c>
      <c r="BO42" t="s">
        <v>105</v>
      </c>
      <c r="BP42">
        <v>1</v>
      </c>
      <c r="BQ42">
        <v>3</v>
      </c>
      <c r="BR42">
        <v>0</v>
      </c>
      <c r="BS42">
        <v>33.08</v>
      </c>
      <c r="BT42">
        <v>1</v>
      </c>
      <c r="BU42">
        <v>1</v>
      </c>
      <c r="BV42">
        <v>1</v>
      </c>
      <c r="BW42">
        <v>1</v>
      </c>
      <c r="BX42">
        <v>1</v>
      </c>
      <c r="BY42" t="s">
        <v>3</v>
      </c>
      <c r="BZ42">
        <v>97</v>
      </c>
      <c r="CA42">
        <v>51</v>
      </c>
      <c r="CB42" t="s">
        <v>3</v>
      </c>
      <c r="CE42">
        <v>0</v>
      </c>
      <c r="CF42">
        <v>0</v>
      </c>
      <c r="CG42">
        <v>0</v>
      </c>
      <c r="CM42">
        <v>0</v>
      </c>
      <c r="CN42" t="s">
        <v>3</v>
      </c>
      <c r="CO42">
        <v>0</v>
      </c>
      <c r="CP42">
        <f t="shared" si="34"/>
        <v>2135.7200000000003</v>
      </c>
      <c r="CQ42">
        <f t="shared" si="35"/>
        <v>107.8991</v>
      </c>
      <c r="CR42">
        <f t="shared" si="36"/>
        <v>27.415999999999997</v>
      </c>
      <c r="CS42">
        <f t="shared" si="37"/>
        <v>3.9695999999999998</v>
      </c>
      <c r="CT42">
        <f t="shared" si="38"/>
        <v>398.61399999999998</v>
      </c>
      <c r="CU42">
        <f t="shared" si="39"/>
        <v>0</v>
      </c>
      <c r="CV42">
        <f t="shared" si="40"/>
        <v>1.34</v>
      </c>
      <c r="CW42">
        <f t="shared" si="41"/>
        <v>0.01</v>
      </c>
      <c r="CX42">
        <f t="shared" si="42"/>
        <v>0</v>
      </c>
      <c r="CY42">
        <f t="shared" si="43"/>
        <v>1562.0298</v>
      </c>
      <c r="CZ42">
        <f t="shared" si="44"/>
        <v>821.27340000000015</v>
      </c>
      <c r="DC42" t="s">
        <v>3</v>
      </c>
      <c r="DD42" t="s">
        <v>3</v>
      </c>
      <c r="DE42" t="s">
        <v>3</v>
      </c>
      <c r="DF42" t="s">
        <v>3</v>
      </c>
      <c r="DG42" t="s">
        <v>3</v>
      </c>
      <c r="DH42" t="s">
        <v>3</v>
      </c>
      <c r="DI42" t="s">
        <v>3</v>
      </c>
      <c r="DJ42" t="s">
        <v>3</v>
      </c>
      <c r="DK42" t="s">
        <v>3</v>
      </c>
      <c r="DL42" t="s">
        <v>3</v>
      </c>
      <c r="DM42" t="s">
        <v>3</v>
      </c>
      <c r="DN42">
        <v>0</v>
      </c>
      <c r="DO42">
        <v>0</v>
      </c>
      <c r="DP42">
        <v>1</v>
      </c>
      <c r="DQ42">
        <v>1</v>
      </c>
      <c r="DU42">
        <v>1013</v>
      </c>
      <c r="DV42" t="s">
        <v>107</v>
      </c>
      <c r="DW42" t="s">
        <v>107</v>
      </c>
      <c r="DX42">
        <v>1</v>
      </c>
      <c r="DZ42" t="s">
        <v>3</v>
      </c>
      <c r="EA42" t="s">
        <v>3</v>
      </c>
      <c r="EB42" t="s">
        <v>3</v>
      </c>
      <c r="EC42" t="s">
        <v>3</v>
      </c>
      <c r="EE42">
        <v>92107470</v>
      </c>
      <c r="EF42">
        <v>3</v>
      </c>
      <c r="EG42" t="s">
        <v>45</v>
      </c>
      <c r="EH42">
        <v>0</v>
      </c>
      <c r="EI42" t="s">
        <v>3</v>
      </c>
      <c r="EJ42">
        <v>2</v>
      </c>
      <c r="EK42">
        <v>108001</v>
      </c>
      <c r="EL42" t="s">
        <v>46</v>
      </c>
      <c r="EM42" t="s">
        <v>47</v>
      </c>
      <c r="EO42" t="s">
        <v>3</v>
      </c>
      <c r="EQ42">
        <v>0</v>
      </c>
      <c r="ER42">
        <v>19.559999999999999</v>
      </c>
      <c r="ES42">
        <v>5.21</v>
      </c>
      <c r="ET42">
        <v>2.2999999999999998</v>
      </c>
      <c r="EU42">
        <v>0.12</v>
      </c>
      <c r="EV42">
        <v>12.05</v>
      </c>
      <c r="EW42">
        <v>1.34</v>
      </c>
      <c r="EX42">
        <v>0.01</v>
      </c>
      <c r="EY42">
        <v>0</v>
      </c>
      <c r="FQ42">
        <v>0</v>
      </c>
      <c r="FR42">
        <f t="shared" si="45"/>
        <v>0</v>
      </c>
      <c r="FS42">
        <v>0</v>
      </c>
      <c r="FX42">
        <v>97</v>
      </c>
      <c r="FY42">
        <v>51</v>
      </c>
      <c r="GA42" t="s">
        <v>3</v>
      </c>
      <c r="GD42">
        <v>1</v>
      </c>
      <c r="GF42">
        <v>-1957395946</v>
      </c>
      <c r="GG42">
        <v>2</v>
      </c>
      <c r="GH42">
        <v>1</v>
      </c>
      <c r="GI42">
        <v>2</v>
      </c>
      <c r="GJ42">
        <v>0</v>
      </c>
      <c r="GK42">
        <v>0</v>
      </c>
      <c r="GL42">
        <f t="shared" si="46"/>
        <v>0</v>
      </c>
      <c r="GM42">
        <f t="shared" si="47"/>
        <v>4519.0200000000004</v>
      </c>
      <c r="GN42">
        <f t="shared" si="48"/>
        <v>0</v>
      </c>
      <c r="GO42">
        <f t="shared" si="49"/>
        <v>4519.0200000000004</v>
      </c>
      <c r="GP42">
        <f t="shared" si="50"/>
        <v>0</v>
      </c>
      <c r="GR42">
        <v>0</v>
      </c>
      <c r="GS42">
        <v>3</v>
      </c>
      <c r="GT42">
        <v>0</v>
      </c>
      <c r="GU42" t="s">
        <v>3</v>
      </c>
      <c r="GV42">
        <f t="shared" si="51"/>
        <v>0</v>
      </c>
      <c r="GW42">
        <v>1</v>
      </c>
      <c r="GX42">
        <f t="shared" si="52"/>
        <v>0</v>
      </c>
      <c r="HA42">
        <v>0</v>
      </c>
      <c r="HB42">
        <v>0</v>
      </c>
      <c r="HC42">
        <f t="shared" si="53"/>
        <v>0</v>
      </c>
      <c r="HE42" t="s">
        <v>3</v>
      </c>
      <c r="HF42" t="s">
        <v>3</v>
      </c>
      <c r="HM42" t="s">
        <v>3</v>
      </c>
      <c r="HN42" t="s">
        <v>48</v>
      </c>
      <c r="HO42" t="s">
        <v>49</v>
      </c>
      <c r="HP42" t="s">
        <v>46</v>
      </c>
      <c r="HQ42" t="s">
        <v>46</v>
      </c>
      <c r="IK42">
        <v>0</v>
      </c>
    </row>
    <row r="43" spans="1:245" x14ac:dyDescent="0.2">
      <c r="A43">
        <v>18</v>
      </c>
      <c r="B43">
        <v>1</v>
      </c>
      <c r="C43">
        <v>63</v>
      </c>
      <c r="E43" t="s">
        <v>109</v>
      </c>
      <c r="F43" t="s">
        <v>110</v>
      </c>
      <c r="G43" t="s">
        <v>111</v>
      </c>
      <c r="H43" t="s">
        <v>97</v>
      </c>
      <c r="I43">
        <f>I42*J43</f>
        <v>-3.2000000000000002E-3</v>
      </c>
      <c r="J43">
        <v>-8.0000000000000004E-4</v>
      </c>
      <c r="K43">
        <v>-8.0000000000000004E-4</v>
      </c>
      <c r="O43">
        <f t="shared" si="14"/>
        <v>-356.89</v>
      </c>
      <c r="P43">
        <f t="shared" si="15"/>
        <v>-356.89</v>
      </c>
      <c r="Q43">
        <f t="shared" si="16"/>
        <v>0</v>
      </c>
      <c r="R43">
        <f t="shared" si="17"/>
        <v>0</v>
      </c>
      <c r="S43">
        <f t="shared" si="18"/>
        <v>0</v>
      </c>
      <c r="T43">
        <f t="shared" si="19"/>
        <v>0</v>
      </c>
      <c r="U43">
        <f t="shared" si="20"/>
        <v>0</v>
      </c>
      <c r="V43">
        <f t="shared" si="21"/>
        <v>0</v>
      </c>
      <c r="W43">
        <f t="shared" si="22"/>
        <v>0</v>
      </c>
      <c r="X43">
        <f t="shared" si="23"/>
        <v>0</v>
      </c>
      <c r="Y43">
        <f t="shared" si="24"/>
        <v>0</v>
      </c>
      <c r="AA43">
        <v>92408302</v>
      </c>
      <c r="AB43">
        <f t="shared" si="25"/>
        <v>4488</v>
      </c>
      <c r="AC43">
        <f t="shared" si="26"/>
        <v>4488</v>
      </c>
      <c r="AD43">
        <f t="shared" si="27"/>
        <v>0</v>
      </c>
      <c r="AE43">
        <f t="shared" si="28"/>
        <v>0</v>
      </c>
      <c r="AF43">
        <f t="shared" si="29"/>
        <v>0</v>
      </c>
      <c r="AG43">
        <f t="shared" si="30"/>
        <v>0</v>
      </c>
      <c r="AH43">
        <f t="shared" si="31"/>
        <v>0</v>
      </c>
      <c r="AI43">
        <f t="shared" si="32"/>
        <v>0</v>
      </c>
      <c r="AJ43">
        <f t="shared" si="33"/>
        <v>0</v>
      </c>
      <c r="AK43">
        <v>4488</v>
      </c>
      <c r="AL43">
        <v>4488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97</v>
      </c>
      <c r="AU43">
        <v>51</v>
      </c>
      <c r="AV43">
        <v>1</v>
      </c>
      <c r="AW43">
        <v>1</v>
      </c>
      <c r="AZ43">
        <v>1</v>
      </c>
      <c r="BA43">
        <v>1</v>
      </c>
      <c r="BB43">
        <v>1</v>
      </c>
      <c r="BC43">
        <v>24.85</v>
      </c>
      <c r="BD43" t="s">
        <v>3</v>
      </c>
      <c r="BE43" t="s">
        <v>3</v>
      </c>
      <c r="BF43" t="s">
        <v>3</v>
      </c>
      <c r="BG43" t="s">
        <v>3</v>
      </c>
      <c r="BH43">
        <v>3</v>
      </c>
      <c r="BI43">
        <v>2</v>
      </c>
      <c r="BJ43" t="s">
        <v>112</v>
      </c>
      <c r="BM43">
        <v>108001</v>
      </c>
      <c r="BN43">
        <v>0</v>
      </c>
      <c r="BO43" t="s">
        <v>110</v>
      </c>
      <c r="BP43">
        <v>1</v>
      </c>
      <c r="BQ43">
        <v>3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</v>
      </c>
      <c r="BZ43">
        <v>97</v>
      </c>
      <c r="CA43">
        <v>51</v>
      </c>
      <c r="CB43" t="s">
        <v>3</v>
      </c>
      <c r="CE43">
        <v>0</v>
      </c>
      <c r="CF43">
        <v>0</v>
      </c>
      <c r="CG43">
        <v>0</v>
      </c>
      <c r="CM43">
        <v>0</v>
      </c>
      <c r="CN43" t="s">
        <v>3</v>
      </c>
      <c r="CO43">
        <v>0</v>
      </c>
      <c r="CP43">
        <f t="shared" si="34"/>
        <v>-356.89</v>
      </c>
      <c r="CQ43">
        <f t="shared" si="35"/>
        <v>111526.8</v>
      </c>
      <c r="CR43">
        <f t="shared" si="36"/>
        <v>0</v>
      </c>
      <c r="CS43">
        <f t="shared" si="37"/>
        <v>0</v>
      </c>
      <c r="CT43">
        <f t="shared" si="38"/>
        <v>0</v>
      </c>
      <c r="CU43">
        <f t="shared" si="39"/>
        <v>0</v>
      </c>
      <c r="CV43">
        <f t="shared" si="40"/>
        <v>0</v>
      </c>
      <c r="CW43">
        <f t="shared" si="41"/>
        <v>0</v>
      </c>
      <c r="CX43">
        <f t="shared" si="42"/>
        <v>0</v>
      </c>
      <c r="CY43">
        <f t="shared" si="43"/>
        <v>0</v>
      </c>
      <c r="CZ43">
        <f t="shared" si="44"/>
        <v>0</v>
      </c>
      <c r="DC43" t="s">
        <v>3</v>
      </c>
      <c r="DD43" t="s">
        <v>3</v>
      </c>
      <c r="DE43" t="s">
        <v>3</v>
      </c>
      <c r="DF43" t="s">
        <v>3</v>
      </c>
      <c r="DG43" t="s">
        <v>3</v>
      </c>
      <c r="DH43" t="s">
        <v>3</v>
      </c>
      <c r="DI43" t="s">
        <v>3</v>
      </c>
      <c r="DJ43" t="s">
        <v>3</v>
      </c>
      <c r="DK43" t="s">
        <v>3</v>
      </c>
      <c r="DL43" t="s">
        <v>3</v>
      </c>
      <c r="DM43" t="s">
        <v>3</v>
      </c>
      <c r="DN43">
        <v>0</v>
      </c>
      <c r="DO43">
        <v>0</v>
      </c>
      <c r="DP43">
        <v>1</v>
      </c>
      <c r="DQ43">
        <v>1</v>
      </c>
      <c r="DU43">
        <v>1009</v>
      </c>
      <c r="DV43" t="s">
        <v>97</v>
      </c>
      <c r="DW43" t="s">
        <v>97</v>
      </c>
      <c r="DX43">
        <v>1000</v>
      </c>
      <c r="DZ43" t="s">
        <v>3</v>
      </c>
      <c r="EA43" t="s">
        <v>3</v>
      </c>
      <c r="EB43" t="s">
        <v>3</v>
      </c>
      <c r="EC43" t="s">
        <v>3</v>
      </c>
      <c r="EE43">
        <v>92107470</v>
      </c>
      <c r="EF43">
        <v>3</v>
      </c>
      <c r="EG43" t="s">
        <v>45</v>
      </c>
      <c r="EH43">
        <v>0</v>
      </c>
      <c r="EI43" t="s">
        <v>3</v>
      </c>
      <c r="EJ43">
        <v>2</v>
      </c>
      <c r="EK43">
        <v>108001</v>
      </c>
      <c r="EL43" t="s">
        <v>46</v>
      </c>
      <c r="EM43" t="s">
        <v>47</v>
      </c>
      <c r="EO43" t="s">
        <v>3</v>
      </c>
      <c r="EQ43">
        <v>0</v>
      </c>
      <c r="ER43">
        <v>4488</v>
      </c>
      <c r="ES43">
        <v>4488</v>
      </c>
      <c r="ET43">
        <v>0</v>
      </c>
      <c r="EU43">
        <v>0</v>
      </c>
      <c r="EV43">
        <v>0</v>
      </c>
      <c r="EW43">
        <v>0</v>
      </c>
      <c r="EX43">
        <v>0</v>
      </c>
      <c r="FQ43">
        <v>0</v>
      </c>
      <c r="FR43">
        <f t="shared" si="45"/>
        <v>0</v>
      </c>
      <c r="FS43">
        <v>0</v>
      </c>
      <c r="FX43">
        <v>97</v>
      </c>
      <c r="FY43">
        <v>51</v>
      </c>
      <c r="GA43" t="s">
        <v>3</v>
      </c>
      <c r="GD43">
        <v>1</v>
      </c>
      <c r="GF43">
        <v>-1057666604</v>
      </c>
      <c r="GG43">
        <v>2</v>
      </c>
      <c r="GH43">
        <v>1</v>
      </c>
      <c r="GI43">
        <v>2</v>
      </c>
      <c r="GJ43">
        <v>0</v>
      </c>
      <c r="GK43">
        <v>0</v>
      </c>
      <c r="GL43">
        <f t="shared" si="46"/>
        <v>0</v>
      </c>
      <c r="GM43">
        <f t="shared" si="47"/>
        <v>-356.89</v>
      </c>
      <c r="GN43">
        <f t="shared" si="48"/>
        <v>0</v>
      </c>
      <c r="GO43">
        <f t="shared" si="49"/>
        <v>-356.89</v>
      </c>
      <c r="GP43">
        <f t="shared" si="50"/>
        <v>0</v>
      </c>
      <c r="GR43">
        <v>0</v>
      </c>
      <c r="GS43">
        <v>3</v>
      </c>
      <c r="GT43">
        <v>0</v>
      </c>
      <c r="GU43" t="s">
        <v>3</v>
      </c>
      <c r="GV43">
        <f t="shared" si="51"/>
        <v>0</v>
      </c>
      <c r="GW43">
        <v>1</v>
      </c>
      <c r="GX43">
        <f t="shared" si="52"/>
        <v>0</v>
      </c>
      <c r="HA43">
        <v>0</v>
      </c>
      <c r="HB43">
        <v>0</v>
      </c>
      <c r="HC43">
        <f t="shared" si="53"/>
        <v>0</v>
      </c>
      <c r="HE43" t="s">
        <v>3</v>
      </c>
      <c r="HF43" t="s">
        <v>3</v>
      </c>
      <c r="HM43" t="s">
        <v>3</v>
      </c>
      <c r="HN43" t="s">
        <v>48</v>
      </c>
      <c r="HO43" t="s">
        <v>49</v>
      </c>
      <c r="HP43" t="s">
        <v>46</v>
      </c>
      <c r="HQ43" t="s">
        <v>46</v>
      </c>
      <c r="IK43">
        <v>0</v>
      </c>
    </row>
    <row r="44" spans="1:245" x14ac:dyDescent="0.2">
      <c r="A44">
        <v>17</v>
      </c>
      <c r="B44">
        <v>1</v>
      </c>
      <c r="C44">
        <f>ROW(SmtRes!A69)</f>
        <v>69</v>
      </c>
      <c r="D44">
        <f>ROW(EtalonRes!A69)</f>
        <v>69</v>
      </c>
      <c r="E44" t="s">
        <v>113</v>
      </c>
      <c r="F44" t="s">
        <v>114</v>
      </c>
      <c r="G44" t="s">
        <v>115</v>
      </c>
      <c r="H44" t="s">
        <v>116</v>
      </c>
      <c r="I44">
        <f>ROUND(32/100,9)</f>
        <v>0.32</v>
      </c>
      <c r="J44">
        <v>0</v>
      </c>
      <c r="K44">
        <f>ROUND(32/100,9)</f>
        <v>0.32</v>
      </c>
      <c r="O44">
        <f t="shared" si="14"/>
        <v>2950.89</v>
      </c>
      <c r="P44">
        <f t="shared" si="15"/>
        <v>57.85</v>
      </c>
      <c r="Q44">
        <f t="shared" si="16"/>
        <v>0</v>
      </c>
      <c r="R44">
        <f t="shared" si="17"/>
        <v>0</v>
      </c>
      <c r="S44">
        <f t="shared" si="18"/>
        <v>2893.04</v>
      </c>
      <c r="T44">
        <f t="shared" si="19"/>
        <v>0</v>
      </c>
      <c r="U44">
        <f t="shared" si="20"/>
        <v>9.7279999999999998</v>
      </c>
      <c r="V44">
        <f t="shared" si="21"/>
        <v>0</v>
      </c>
      <c r="W44">
        <f t="shared" si="22"/>
        <v>0</v>
      </c>
      <c r="X44">
        <f t="shared" si="23"/>
        <v>2806.25</v>
      </c>
      <c r="Y44">
        <f t="shared" si="24"/>
        <v>1475.45</v>
      </c>
      <c r="AA44">
        <v>92408302</v>
      </c>
      <c r="AB44">
        <f t="shared" si="25"/>
        <v>278.77</v>
      </c>
      <c r="AC44">
        <f t="shared" si="26"/>
        <v>5.47</v>
      </c>
      <c r="AD44">
        <f t="shared" si="27"/>
        <v>0</v>
      </c>
      <c r="AE44">
        <f t="shared" si="28"/>
        <v>0</v>
      </c>
      <c r="AF44">
        <f t="shared" si="29"/>
        <v>273.3</v>
      </c>
      <c r="AG44">
        <f t="shared" si="30"/>
        <v>0</v>
      </c>
      <c r="AH44">
        <f t="shared" si="31"/>
        <v>30.4</v>
      </c>
      <c r="AI44">
        <f t="shared" si="32"/>
        <v>0</v>
      </c>
      <c r="AJ44">
        <f t="shared" si="33"/>
        <v>0</v>
      </c>
      <c r="AK44">
        <v>278.77</v>
      </c>
      <c r="AL44">
        <v>5.47</v>
      </c>
      <c r="AM44">
        <v>0</v>
      </c>
      <c r="AN44">
        <v>0</v>
      </c>
      <c r="AO44">
        <v>273.3</v>
      </c>
      <c r="AP44">
        <v>0</v>
      </c>
      <c r="AQ44">
        <v>30.4</v>
      </c>
      <c r="AR44">
        <v>0</v>
      </c>
      <c r="AS44">
        <v>0</v>
      </c>
      <c r="AT44">
        <v>97</v>
      </c>
      <c r="AU44">
        <v>51</v>
      </c>
      <c r="AV44">
        <v>1</v>
      </c>
      <c r="AW44">
        <v>1</v>
      </c>
      <c r="AZ44">
        <v>1</v>
      </c>
      <c r="BA44">
        <v>33.08</v>
      </c>
      <c r="BB44">
        <v>1</v>
      </c>
      <c r="BC44">
        <v>33.049999999999997</v>
      </c>
      <c r="BD44" t="s">
        <v>3</v>
      </c>
      <c r="BE44" t="s">
        <v>3</v>
      </c>
      <c r="BF44" t="s">
        <v>3</v>
      </c>
      <c r="BG44" t="s">
        <v>3</v>
      </c>
      <c r="BH44">
        <v>0</v>
      </c>
      <c r="BI44">
        <v>2</v>
      </c>
      <c r="BJ44" t="s">
        <v>117</v>
      </c>
      <c r="BM44">
        <v>108001</v>
      </c>
      <c r="BN44">
        <v>0</v>
      </c>
      <c r="BO44" t="s">
        <v>114</v>
      </c>
      <c r="BP44">
        <v>1</v>
      </c>
      <c r="BQ44">
        <v>3</v>
      </c>
      <c r="BR44">
        <v>0</v>
      </c>
      <c r="BS44">
        <v>33.08</v>
      </c>
      <c r="BT44">
        <v>1</v>
      </c>
      <c r="BU44">
        <v>1</v>
      </c>
      <c r="BV44">
        <v>1</v>
      </c>
      <c r="BW44">
        <v>1</v>
      </c>
      <c r="BX44">
        <v>1</v>
      </c>
      <c r="BY44" t="s">
        <v>3</v>
      </c>
      <c r="BZ44">
        <v>97</v>
      </c>
      <c r="CA44">
        <v>51</v>
      </c>
      <c r="CB44" t="s">
        <v>3</v>
      </c>
      <c r="CE44">
        <v>0</v>
      </c>
      <c r="CF44">
        <v>0</v>
      </c>
      <c r="CG44">
        <v>0</v>
      </c>
      <c r="CM44">
        <v>0</v>
      </c>
      <c r="CN44" t="s">
        <v>3</v>
      </c>
      <c r="CO44">
        <v>0</v>
      </c>
      <c r="CP44">
        <f t="shared" si="34"/>
        <v>2950.89</v>
      </c>
      <c r="CQ44">
        <f t="shared" si="35"/>
        <v>180.78349999999998</v>
      </c>
      <c r="CR44">
        <f t="shared" si="36"/>
        <v>0</v>
      </c>
      <c r="CS44">
        <f t="shared" si="37"/>
        <v>0</v>
      </c>
      <c r="CT44">
        <f t="shared" si="38"/>
        <v>9040.7639999999992</v>
      </c>
      <c r="CU44">
        <f t="shared" si="39"/>
        <v>0</v>
      </c>
      <c r="CV44">
        <f t="shared" si="40"/>
        <v>30.4</v>
      </c>
      <c r="CW44">
        <f t="shared" si="41"/>
        <v>0</v>
      </c>
      <c r="CX44">
        <f t="shared" si="42"/>
        <v>0</v>
      </c>
      <c r="CY44">
        <f t="shared" si="43"/>
        <v>2806.2487999999998</v>
      </c>
      <c r="CZ44">
        <f t="shared" si="44"/>
        <v>1475.4504000000002</v>
      </c>
      <c r="DC44" t="s">
        <v>3</v>
      </c>
      <c r="DD44" t="s">
        <v>3</v>
      </c>
      <c r="DE44" t="s">
        <v>3</v>
      </c>
      <c r="DF44" t="s">
        <v>3</v>
      </c>
      <c r="DG44" t="s">
        <v>3</v>
      </c>
      <c r="DH44" t="s">
        <v>3</v>
      </c>
      <c r="DI44" t="s">
        <v>3</v>
      </c>
      <c r="DJ44" t="s">
        <v>3</v>
      </c>
      <c r="DK44" t="s">
        <v>3</v>
      </c>
      <c r="DL44" t="s">
        <v>3</v>
      </c>
      <c r="DM44" t="s">
        <v>3</v>
      </c>
      <c r="DN44">
        <v>0</v>
      </c>
      <c r="DO44">
        <v>0</v>
      </c>
      <c r="DP44">
        <v>1</v>
      </c>
      <c r="DQ44">
        <v>1</v>
      </c>
      <c r="DU44">
        <v>1010</v>
      </c>
      <c r="DV44" t="s">
        <v>116</v>
      </c>
      <c r="DW44" t="s">
        <v>116</v>
      </c>
      <c r="DX44">
        <v>100</v>
      </c>
      <c r="DZ44" t="s">
        <v>3</v>
      </c>
      <c r="EA44" t="s">
        <v>3</v>
      </c>
      <c r="EB44" t="s">
        <v>3</v>
      </c>
      <c r="EC44" t="s">
        <v>3</v>
      </c>
      <c r="EE44">
        <v>92107470</v>
      </c>
      <c r="EF44">
        <v>3</v>
      </c>
      <c r="EG44" t="s">
        <v>45</v>
      </c>
      <c r="EH44">
        <v>0</v>
      </c>
      <c r="EI44" t="s">
        <v>3</v>
      </c>
      <c r="EJ44">
        <v>2</v>
      </c>
      <c r="EK44">
        <v>108001</v>
      </c>
      <c r="EL44" t="s">
        <v>46</v>
      </c>
      <c r="EM44" t="s">
        <v>47</v>
      </c>
      <c r="EO44" t="s">
        <v>3</v>
      </c>
      <c r="EQ44">
        <v>0</v>
      </c>
      <c r="ER44">
        <v>278.77</v>
      </c>
      <c r="ES44">
        <v>5.47</v>
      </c>
      <c r="ET44">
        <v>0</v>
      </c>
      <c r="EU44">
        <v>0</v>
      </c>
      <c r="EV44">
        <v>273.3</v>
      </c>
      <c r="EW44">
        <v>30.4</v>
      </c>
      <c r="EX44">
        <v>0</v>
      </c>
      <c r="EY44">
        <v>0</v>
      </c>
      <c r="FQ44">
        <v>0</v>
      </c>
      <c r="FR44">
        <f t="shared" si="45"/>
        <v>0</v>
      </c>
      <c r="FS44">
        <v>0</v>
      </c>
      <c r="FX44">
        <v>97</v>
      </c>
      <c r="FY44">
        <v>51</v>
      </c>
      <c r="GA44" t="s">
        <v>3</v>
      </c>
      <c r="GD44">
        <v>1</v>
      </c>
      <c r="GF44">
        <v>-1776773898</v>
      </c>
      <c r="GG44">
        <v>2</v>
      </c>
      <c r="GH44">
        <v>1</v>
      </c>
      <c r="GI44">
        <v>2</v>
      </c>
      <c r="GJ44">
        <v>0</v>
      </c>
      <c r="GK44">
        <v>0</v>
      </c>
      <c r="GL44">
        <f t="shared" si="46"/>
        <v>0</v>
      </c>
      <c r="GM44">
        <f t="shared" si="47"/>
        <v>7232.59</v>
      </c>
      <c r="GN44">
        <f t="shared" si="48"/>
        <v>0</v>
      </c>
      <c r="GO44">
        <f t="shared" si="49"/>
        <v>7232.59</v>
      </c>
      <c r="GP44">
        <f t="shared" si="50"/>
        <v>0</v>
      </c>
      <c r="GR44">
        <v>0</v>
      </c>
      <c r="GS44">
        <v>3</v>
      </c>
      <c r="GT44">
        <v>0</v>
      </c>
      <c r="GU44" t="s">
        <v>3</v>
      </c>
      <c r="GV44">
        <f t="shared" si="51"/>
        <v>0</v>
      </c>
      <c r="GW44">
        <v>1</v>
      </c>
      <c r="GX44">
        <f t="shared" si="52"/>
        <v>0</v>
      </c>
      <c r="HA44">
        <v>0</v>
      </c>
      <c r="HB44">
        <v>0</v>
      </c>
      <c r="HC44">
        <f t="shared" si="53"/>
        <v>0</v>
      </c>
      <c r="HE44" t="s">
        <v>3</v>
      </c>
      <c r="HF44" t="s">
        <v>3</v>
      </c>
      <c r="HM44" t="s">
        <v>3</v>
      </c>
      <c r="HN44" t="s">
        <v>48</v>
      </c>
      <c r="HO44" t="s">
        <v>49</v>
      </c>
      <c r="HP44" t="s">
        <v>46</v>
      </c>
      <c r="HQ44" t="s">
        <v>46</v>
      </c>
      <c r="IK44">
        <v>0</v>
      </c>
    </row>
    <row r="45" spans="1:245" x14ac:dyDescent="0.2">
      <c r="A45">
        <v>17</v>
      </c>
      <c r="B45">
        <v>1</v>
      </c>
      <c r="C45">
        <f>ROW(SmtRes!A76)</f>
        <v>76</v>
      </c>
      <c r="D45">
        <f>ROW(EtalonRes!A76)</f>
        <v>76</v>
      </c>
      <c r="E45" t="s">
        <v>118</v>
      </c>
      <c r="F45" t="s">
        <v>119</v>
      </c>
      <c r="G45" t="s">
        <v>120</v>
      </c>
      <c r="H45" t="s">
        <v>121</v>
      </c>
      <c r="I45">
        <f>ROUND(10/100,9)</f>
        <v>0.1</v>
      </c>
      <c r="J45">
        <v>0</v>
      </c>
      <c r="K45">
        <f>ROUND(10/100,9)</f>
        <v>0.1</v>
      </c>
      <c r="O45">
        <f t="shared" si="14"/>
        <v>10324.89</v>
      </c>
      <c r="P45">
        <f t="shared" si="15"/>
        <v>8430.14</v>
      </c>
      <c r="Q45">
        <f t="shared" si="16"/>
        <v>144.02000000000001</v>
      </c>
      <c r="R45">
        <f t="shared" si="17"/>
        <v>0</v>
      </c>
      <c r="S45">
        <f t="shared" si="18"/>
        <v>1750.73</v>
      </c>
      <c r="T45">
        <f t="shared" si="19"/>
        <v>0</v>
      </c>
      <c r="U45">
        <f t="shared" si="20"/>
        <v>6.2409999999999997</v>
      </c>
      <c r="V45">
        <f t="shared" si="21"/>
        <v>0</v>
      </c>
      <c r="W45">
        <f t="shared" si="22"/>
        <v>0</v>
      </c>
      <c r="X45">
        <f t="shared" si="23"/>
        <v>1698.21</v>
      </c>
      <c r="Y45">
        <f t="shared" si="24"/>
        <v>962.9</v>
      </c>
      <c r="AA45">
        <v>92408302</v>
      </c>
      <c r="AB45">
        <f t="shared" si="25"/>
        <v>11967.82</v>
      </c>
      <c r="AC45">
        <f t="shared" si="26"/>
        <v>11225.22</v>
      </c>
      <c r="AD45">
        <f t="shared" si="27"/>
        <v>213.36</v>
      </c>
      <c r="AE45">
        <f t="shared" si="28"/>
        <v>0</v>
      </c>
      <c r="AF45">
        <f t="shared" si="29"/>
        <v>529.24</v>
      </c>
      <c r="AG45">
        <f t="shared" si="30"/>
        <v>0</v>
      </c>
      <c r="AH45">
        <f t="shared" si="31"/>
        <v>62.41</v>
      </c>
      <c r="AI45">
        <f t="shared" si="32"/>
        <v>0</v>
      </c>
      <c r="AJ45">
        <f t="shared" si="33"/>
        <v>0</v>
      </c>
      <c r="AK45">
        <v>11967.82</v>
      </c>
      <c r="AL45">
        <v>11225.22</v>
      </c>
      <c r="AM45">
        <v>213.36</v>
      </c>
      <c r="AN45">
        <v>0</v>
      </c>
      <c r="AO45">
        <v>529.24</v>
      </c>
      <c r="AP45">
        <v>0</v>
      </c>
      <c r="AQ45">
        <v>62.41</v>
      </c>
      <c r="AR45">
        <v>0</v>
      </c>
      <c r="AS45">
        <v>0</v>
      </c>
      <c r="AT45">
        <v>97</v>
      </c>
      <c r="AU45">
        <v>55</v>
      </c>
      <c r="AV45">
        <v>1</v>
      </c>
      <c r="AW45">
        <v>1</v>
      </c>
      <c r="AZ45">
        <v>1</v>
      </c>
      <c r="BA45">
        <v>33.08</v>
      </c>
      <c r="BB45">
        <v>6.75</v>
      </c>
      <c r="BC45">
        <v>7.51</v>
      </c>
      <c r="BD45" t="s">
        <v>3</v>
      </c>
      <c r="BE45" t="s">
        <v>3</v>
      </c>
      <c r="BF45" t="s">
        <v>3</v>
      </c>
      <c r="BG45" t="s">
        <v>3</v>
      </c>
      <c r="BH45">
        <v>0</v>
      </c>
      <c r="BI45">
        <v>1</v>
      </c>
      <c r="BJ45" t="s">
        <v>122</v>
      </c>
      <c r="BM45">
        <v>26001</v>
      </c>
      <c r="BN45">
        <v>0</v>
      </c>
      <c r="BO45" t="s">
        <v>119</v>
      </c>
      <c r="BP45">
        <v>1</v>
      </c>
      <c r="BQ45">
        <v>2</v>
      </c>
      <c r="BR45">
        <v>0</v>
      </c>
      <c r="BS45">
        <v>33.08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3</v>
      </c>
      <c r="BZ45">
        <v>97</v>
      </c>
      <c r="CA45">
        <v>55</v>
      </c>
      <c r="CB45" t="s">
        <v>3</v>
      </c>
      <c r="CE45">
        <v>0</v>
      </c>
      <c r="CF45">
        <v>0</v>
      </c>
      <c r="CG45">
        <v>0</v>
      </c>
      <c r="CM45">
        <v>0</v>
      </c>
      <c r="CN45" t="s">
        <v>3</v>
      </c>
      <c r="CO45">
        <v>0</v>
      </c>
      <c r="CP45">
        <f t="shared" si="34"/>
        <v>10324.89</v>
      </c>
      <c r="CQ45">
        <f t="shared" si="35"/>
        <v>84301.402199999997</v>
      </c>
      <c r="CR45">
        <f t="shared" si="36"/>
        <v>1440.18</v>
      </c>
      <c r="CS45">
        <f t="shared" si="37"/>
        <v>0</v>
      </c>
      <c r="CT45">
        <f t="shared" si="38"/>
        <v>17507.2592</v>
      </c>
      <c r="CU45">
        <f t="shared" si="39"/>
        <v>0</v>
      </c>
      <c r="CV45">
        <f t="shared" si="40"/>
        <v>62.41</v>
      </c>
      <c r="CW45">
        <f t="shared" si="41"/>
        <v>0</v>
      </c>
      <c r="CX45">
        <f t="shared" si="42"/>
        <v>0</v>
      </c>
      <c r="CY45">
        <f t="shared" si="43"/>
        <v>1698.2081000000001</v>
      </c>
      <c r="CZ45">
        <f t="shared" si="44"/>
        <v>962.90149999999994</v>
      </c>
      <c r="DC45" t="s">
        <v>3</v>
      </c>
      <c r="DD45" t="s">
        <v>3</v>
      </c>
      <c r="DE45" t="s">
        <v>3</v>
      </c>
      <c r="DF45" t="s">
        <v>3</v>
      </c>
      <c r="DG45" t="s">
        <v>3</v>
      </c>
      <c r="DH45" t="s">
        <v>3</v>
      </c>
      <c r="DI45" t="s">
        <v>3</v>
      </c>
      <c r="DJ45" t="s">
        <v>3</v>
      </c>
      <c r="DK45" t="s">
        <v>3</v>
      </c>
      <c r="DL45" t="s">
        <v>3</v>
      </c>
      <c r="DM45" t="s">
        <v>3</v>
      </c>
      <c r="DN45">
        <v>0</v>
      </c>
      <c r="DO45">
        <v>0</v>
      </c>
      <c r="DP45">
        <v>1</v>
      </c>
      <c r="DQ45">
        <v>1</v>
      </c>
      <c r="DU45">
        <v>1005</v>
      </c>
      <c r="DV45" t="s">
        <v>121</v>
      </c>
      <c r="DW45" t="s">
        <v>121</v>
      </c>
      <c r="DX45">
        <v>100</v>
      </c>
      <c r="DZ45" t="s">
        <v>3</v>
      </c>
      <c r="EA45" t="s">
        <v>3</v>
      </c>
      <c r="EB45" t="s">
        <v>3</v>
      </c>
      <c r="EC45" t="s">
        <v>3</v>
      </c>
      <c r="EE45">
        <v>92107627</v>
      </c>
      <c r="EF45">
        <v>2</v>
      </c>
      <c r="EG45" t="s">
        <v>18</v>
      </c>
      <c r="EH45">
        <v>20</v>
      </c>
      <c r="EI45" t="s">
        <v>123</v>
      </c>
      <c r="EJ45">
        <v>1</v>
      </c>
      <c r="EK45">
        <v>26001</v>
      </c>
      <c r="EL45" t="s">
        <v>123</v>
      </c>
      <c r="EM45" t="s">
        <v>124</v>
      </c>
      <c r="EO45" t="s">
        <v>3</v>
      </c>
      <c r="EQ45">
        <v>0</v>
      </c>
      <c r="ER45">
        <v>11967.82</v>
      </c>
      <c r="ES45">
        <v>11225.22</v>
      </c>
      <c r="ET45">
        <v>213.36</v>
      </c>
      <c r="EU45">
        <v>0</v>
      </c>
      <c r="EV45">
        <v>529.24</v>
      </c>
      <c r="EW45">
        <v>62.41</v>
      </c>
      <c r="EX45">
        <v>0</v>
      </c>
      <c r="EY45">
        <v>0</v>
      </c>
      <c r="FQ45">
        <v>0</v>
      </c>
      <c r="FR45">
        <f t="shared" si="45"/>
        <v>0</v>
      </c>
      <c r="FS45">
        <v>0</v>
      </c>
      <c r="FX45">
        <v>97</v>
      </c>
      <c r="FY45">
        <v>55</v>
      </c>
      <c r="GA45" t="s">
        <v>3</v>
      </c>
      <c r="GD45">
        <v>1</v>
      </c>
      <c r="GF45">
        <v>-1244741491</v>
      </c>
      <c r="GG45">
        <v>2</v>
      </c>
      <c r="GH45">
        <v>1</v>
      </c>
      <c r="GI45">
        <v>2</v>
      </c>
      <c r="GJ45">
        <v>0</v>
      </c>
      <c r="GK45">
        <v>0</v>
      </c>
      <c r="GL45">
        <f t="shared" si="46"/>
        <v>0</v>
      </c>
      <c r="GM45">
        <f t="shared" si="47"/>
        <v>12986</v>
      </c>
      <c r="GN45">
        <f t="shared" si="48"/>
        <v>12986</v>
      </c>
      <c r="GO45">
        <f t="shared" si="49"/>
        <v>0</v>
      </c>
      <c r="GP45">
        <f t="shared" si="50"/>
        <v>0</v>
      </c>
      <c r="GR45">
        <v>0</v>
      </c>
      <c r="GS45">
        <v>3</v>
      </c>
      <c r="GT45">
        <v>0</v>
      </c>
      <c r="GU45" t="s">
        <v>3</v>
      </c>
      <c r="GV45">
        <f t="shared" si="51"/>
        <v>0</v>
      </c>
      <c r="GW45">
        <v>1</v>
      </c>
      <c r="GX45">
        <f t="shared" si="52"/>
        <v>0</v>
      </c>
      <c r="HA45">
        <v>0</v>
      </c>
      <c r="HB45">
        <v>0</v>
      </c>
      <c r="HC45">
        <f t="shared" si="53"/>
        <v>0</v>
      </c>
      <c r="HE45" t="s">
        <v>3</v>
      </c>
      <c r="HF45" t="s">
        <v>3</v>
      </c>
      <c r="HM45" t="s">
        <v>3</v>
      </c>
      <c r="HN45" t="s">
        <v>125</v>
      </c>
      <c r="HO45" t="s">
        <v>126</v>
      </c>
      <c r="HP45" t="s">
        <v>123</v>
      </c>
      <c r="HQ45" t="s">
        <v>123</v>
      </c>
      <c r="IK45">
        <v>0</v>
      </c>
    </row>
    <row r="46" spans="1:245" x14ac:dyDescent="0.2">
      <c r="A46">
        <v>17</v>
      </c>
      <c r="B46">
        <v>1</v>
      </c>
      <c r="C46">
        <f>ROW(SmtRes!A78)</f>
        <v>78</v>
      </c>
      <c r="D46">
        <f>ROW(EtalonRes!A78)</f>
        <v>78</v>
      </c>
      <c r="E46" t="s">
        <v>127</v>
      </c>
      <c r="F46" t="s">
        <v>128</v>
      </c>
      <c r="G46" t="s">
        <v>129</v>
      </c>
      <c r="H46" t="s">
        <v>130</v>
      </c>
      <c r="I46">
        <v>2</v>
      </c>
      <c r="J46">
        <v>0</v>
      </c>
      <c r="K46">
        <v>2</v>
      </c>
      <c r="O46">
        <f t="shared" si="14"/>
        <v>3444.95</v>
      </c>
      <c r="P46">
        <f t="shared" si="15"/>
        <v>0</v>
      </c>
      <c r="Q46">
        <f t="shared" si="16"/>
        <v>0</v>
      </c>
      <c r="R46">
        <f t="shared" si="17"/>
        <v>0</v>
      </c>
      <c r="S46">
        <f t="shared" si="18"/>
        <v>3444.95</v>
      </c>
      <c r="T46">
        <f t="shared" si="19"/>
        <v>0</v>
      </c>
      <c r="U46">
        <f t="shared" si="20"/>
        <v>9.7200000000000006</v>
      </c>
      <c r="V46">
        <f t="shared" si="21"/>
        <v>0</v>
      </c>
      <c r="W46">
        <f t="shared" si="22"/>
        <v>0</v>
      </c>
      <c r="X46">
        <f t="shared" si="23"/>
        <v>2549.2600000000002</v>
      </c>
      <c r="Y46">
        <f t="shared" si="24"/>
        <v>1240.18</v>
      </c>
      <c r="AA46">
        <v>92408302</v>
      </c>
      <c r="AB46">
        <f t="shared" si="25"/>
        <v>52.07</v>
      </c>
      <c r="AC46">
        <f t="shared" si="26"/>
        <v>0</v>
      </c>
      <c r="AD46">
        <f t="shared" si="27"/>
        <v>0</v>
      </c>
      <c r="AE46">
        <f t="shared" si="28"/>
        <v>0</v>
      </c>
      <c r="AF46">
        <f t="shared" si="29"/>
        <v>52.07</v>
      </c>
      <c r="AG46">
        <f t="shared" si="30"/>
        <v>0</v>
      </c>
      <c r="AH46">
        <f t="shared" si="31"/>
        <v>4.8600000000000003</v>
      </c>
      <c r="AI46">
        <f t="shared" si="32"/>
        <v>0</v>
      </c>
      <c r="AJ46">
        <f t="shared" si="33"/>
        <v>0</v>
      </c>
      <c r="AK46">
        <v>52.07</v>
      </c>
      <c r="AL46">
        <v>0</v>
      </c>
      <c r="AM46">
        <v>0</v>
      </c>
      <c r="AN46">
        <v>0</v>
      </c>
      <c r="AO46">
        <v>52.07</v>
      </c>
      <c r="AP46">
        <v>0</v>
      </c>
      <c r="AQ46">
        <v>4.8600000000000003</v>
      </c>
      <c r="AR46">
        <v>0</v>
      </c>
      <c r="AS46">
        <v>0</v>
      </c>
      <c r="AT46">
        <v>74</v>
      </c>
      <c r="AU46">
        <v>36</v>
      </c>
      <c r="AV46">
        <v>1</v>
      </c>
      <c r="AW46">
        <v>1</v>
      </c>
      <c r="AZ46">
        <v>1</v>
      </c>
      <c r="BA46">
        <v>33.08</v>
      </c>
      <c r="BB46">
        <v>1</v>
      </c>
      <c r="BC46">
        <v>1</v>
      </c>
      <c r="BD46" t="s">
        <v>3</v>
      </c>
      <c r="BE46" t="s">
        <v>3</v>
      </c>
      <c r="BF46" t="s">
        <v>3</v>
      </c>
      <c r="BG46" t="s">
        <v>3</v>
      </c>
      <c r="BH46">
        <v>0</v>
      </c>
      <c r="BI46">
        <v>4</v>
      </c>
      <c r="BJ46" t="s">
        <v>131</v>
      </c>
      <c r="BM46">
        <v>200001</v>
      </c>
      <c r="BN46">
        <v>0</v>
      </c>
      <c r="BO46" t="s">
        <v>3</v>
      </c>
      <c r="BP46">
        <v>0</v>
      </c>
      <c r="BQ46">
        <v>4</v>
      </c>
      <c r="BR46">
        <v>0</v>
      </c>
      <c r="BS46">
        <v>1</v>
      </c>
      <c r="BT46">
        <v>1</v>
      </c>
      <c r="BU46">
        <v>1</v>
      </c>
      <c r="BV46">
        <v>1</v>
      </c>
      <c r="BW46">
        <v>1</v>
      </c>
      <c r="BX46">
        <v>1</v>
      </c>
      <c r="BY46" t="s">
        <v>3</v>
      </c>
      <c r="BZ46">
        <v>74</v>
      </c>
      <c r="CA46">
        <v>36</v>
      </c>
      <c r="CB46" t="s">
        <v>3</v>
      </c>
      <c r="CE46">
        <v>0</v>
      </c>
      <c r="CF46">
        <v>0</v>
      </c>
      <c r="CG46">
        <v>0</v>
      </c>
      <c r="CM46">
        <v>0</v>
      </c>
      <c r="CN46" t="s">
        <v>3</v>
      </c>
      <c r="CO46">
        <v>0</v>
      </c>
      <c r="CP46">
        <f t="shared" si="34"/>
        <v>3444.95</v>
      </c>
      <c r="CQ46">
        <f t="shared" si="35"/>
        <v>0</v>
      </c>
      <c r="CR46">
        <f t="shared" si="36"/>
        <v>0</v>
      </c>
      <c r="CS46">
        <f t="shared" si="37"/>
        <v>0</v>
      </c>
      <c r="CT46">
        <f t="shared" si="38"/>
        <v>1722.4756</v>
      </c>
      <c r="CU46">
        <f t="shared" si="39"/>
        <v>0</v>
      </c>
      <c r="CV46">
        <f t="shared" si="40"/>
        <v>4.8600000000000003</v>
      </c>
      <c r="CW46">
        <f t="shared" si="41"/>
        <v>0</v>
      </c>
      <c r="CX46">
        <f t="shared" si="42"/>
        <v>0</v>
      </c>
      <c r="CY46">
        <f t="shared" si="43"/>
        <v>2549.2629999999999</v>
      </c>
      <c r="CZ46">
        <f t="shared" si="44"/>
        <v>1240.182</v>
      </c>
      <c r="DC46" t="s">
        <v>3</v>
      </c>
      <c r="DD46" t="s">
        <v>3</v>
      </c>
      <c r="DE46" t="s">
        <v>3</v>
      </c>
      <c r="DF46" t="s">
        <v>3</v>
      </c>
      <c r="DG46" t="s">
        <v>3</v>
      </c>
      <c r="DH46" t="s">
        <v>3</v>
      </c>
      <c r="DI46" t="s">
        <v>3</v>
      </c>
      <c r="DJ46" t="s">
        <v>3</v>
      </c>
      <c r="DK46" t="s">
        <v>3</v>
      </c>
      <c r="DL46" t="s">
        <v>3</v>
      </c>
      <c r="DM46" t="s">
        <v>3</v>
      </c>
      <c r="DN46">
        <v>0</v>
      </c>
      <c r="DO46">
        <v>0</v>
      </c>
      <c r="DP46">
        <v>1</v>
      </c>
      <c r="DQ46">
        <v>1</v>
      </c>
      <c r="DU46">
        <v>1013</v>
      </c>
      <c r="DV46" t="s">
        <v>130</v>
      </c>
      <c r="DW46" t="s">
        <v>130</v>
      </c>
      <c r="DX46">
        <v>1</v>
      </c>
      <c r="DZ46" t="s">
        <v>3</v>
      </c>
      <c r="EA46" t="s">
        <v>3</v>
      </c>
      <c r="EB46" t="s">
        <v>3</v>
      </c>
      <c r="EC46" t="s">
        <v>3</v>
      </c>
      <c r="EE46">
        <v>92107512</v>
      </c>
      <c r="EF46">
        <v>4</v>
      </c>
      <c r="EG46" t="s">
        <v>132</v>
      </c>
      <c r="EH46">
        <v>83</v>
      </c>
      <c r="EI46" t="s">
        <v>132</v>
      </c>
      <c r="EJ46">
        <v>4</v>
      </c>
      <c r="EK46">
        <v>200001</v>
      </c>
      <c r="EL46" t="s">
        <v>133</v>
      </c>
      <c r="EM46" t="s">
        <v>134</v>
      </c>
      <c r="EO46" t="s">
        <v>3</v>
      </c>
      <c r="EQ46">
        <v>0</v>
      </c>
      <c r="ER46">
        <v>52.07</v>
      </c>
      <c r="ES46">
        <v>0</v>
      </c>
      <c r="ET46">
        <v>0</v>
      </c>
      <c r="EU46">
        <v>0</v>
      </c>
      <c r="EV46">
        <v>52.07</v>
      </c>
      <c r="EW46">
        <v>4.8600000000000003</v>
      </c>
      <c r="EX46">
        <v>0</v>
      </c>
      <c r="EY46">
        <v>0</v>
      </c>
      <c r="FQ46">
        <v>0</v>
      </c>
      <c r="FR46">
        <f t="shared" si="45"/>
        <v>0</v>
      </c>
      <c r="FS46">
        <v>0</v>
      </c>
      <c r="FX46">
        <v>74</v>
      </c>
      <c r="FY46">
        <v>36</v>
      </c>
      <c r="GA46" t="s">
        <v>3</v>
      </c>
      <c r="GD46">
        <v>1</v>
      </c>
      <c r="GF46">
        <v>-804058711</v>
      </c>
      <c r="GG46">
        <v>2</v>
      </c>
      <c r="GH46">
        <v>1</v>
      </c>
      <c r="GI46">
        <v>2</v>
      </c>
      <c r="GJ46">
        <v>0</v>
      </c>
      <c r="GK46">
        <v>0</v>
      </c>
      <c r="GL46">
        <f t="shared" si="46"/>
        <v>0</v>
      </c>
      <c r="GM46">
        <f t="shared" si="47"/>
        <v>7234.39</v>
      </c>
      <c r="GN46">
        <f t="shared" si="48"/>
        <v>0</v>
      </c>
      <c r="GO46">
        <f t="shared" si="49"/>
        <v>0</v>
      </c>
      <c r="GP46">
        <f t="shared" si="50"/>
        <v>7234.39</v>
      </c>
      <c r="GR46">
        <v>0</v>
      </c>
      <c r="GS46">
        <v>3</v>
      </c>
      <c r="GT46">
        <v>0</v>
      </c>
      <c r="GU46" t="s">
        <v>3</v>
      </c>
      <c r="GV46">
        <f t="shared" si="51"/>
        <v>0</v>
      </c>
      <c r="GW46">
        <v>1</v>
      </c>
      <c r="GX46">
        <f t="shared" si="52"/>
        <v>0</v>
      </c>
      <c r="HA46">
        <v>0</v>
      </c>
      <c r="HB46">
        <v>0</v>
      </c>
      <c r="HC46">
        <f t="shared" si="53"/>
        <v>0</v>
      </c>
      <c r="HE46" t="s">
        <v>3</v>
      </c>
      <c r="HF46" t="s">
        <v>3</v>
      </c>
      <c r="HM46" t="s">
        <v>3</v>
      </c>
      <c r="HN46" t="s">
        <v>135</v>
      </c>
      <c r="HO46" t="s">
        <v>136</v>
      </c>
      <c r="HP46" t="s">
        <v>132</v>
      </c>
      <c r="HQ46" t="s">
        <v>132</v>
      </c>
      <c r="IK46">
        <v>0</v>
      </c>
    </row>
    <row r="47" spans="1:245" x14ac:dyDescent="0.2">
      <c r="A47">
        <v>17</v>
      </c>
      <c r="B47">
        <v>1</v>
      </c>
      <c r="E47" t="s">
        <v>137</v>
      </c>
      <c r="F47" t="s">
        <v>138</v>
      </c>
      <c r="G47" t="s">
        <v>139</v>
      </c>
      <c r="H47" t="s">
        <v>140</v>
      </c>
      <c r="I47">
        <v>376</v>
      </c>
      <c r="J47">
        <v>0</v>
      </c>
      <c r="K47">
        <v>376</v>
      </c>
      <c r="O47">
        <f t="shared" si="14"/>
        <v>466800.24</v>
      </c>
      <c r="P47">
        <f t="shared" si="15"/>
        <v>466800.24</v>
      </c>
      <c r="Q47">
        <f t="shared" si="16"/>
        <v>0</v>
      </c>
      <c r="R47">
        <f t="shared" si="17"/>
        <v>0</v>
      </c>
      <c r="S47">
        <f t="shared" si="18"/>
        <v>0</v>
      </c>
      <c r="T47">
        <f t="shared" si="19"/>
        <v>0</v>
      </c>
      <c r="U47">
        <f t="shared" si="20"/>
        <v>0</v>
      </c>
      <c r="V47">
        <f t="shared" si="21"/>
        <v>0</v>
      </c>
      <c r="W47">
        <f t="shared" si="22"/>
        <v>0</v>
      </c>
      <c r="X47">
        <f t="shared" si="23"/>
        <v>0</v>
      </c>
      <c r="Y47">
        <f t="shared" si="24"/>
        <v>0</v>
      </c>
      <c r="AA47">
        <v>92408302</v>
      </c>
      <c r="AB47">
        <f t="shared" si="25"/>
        <v>1241.49</v>
      </c>
      <c r="AC47">
        <f t="shared" si="26"/>
        <v>1241.49</v>
      </c>
      <c r="AD47">
        <f t="shared" si="27"/>
        <v>0</v>
      </c>
      <c r="AE47">
        <f t="shared" si="28"/>
        <v>0</v>
      </c>
      <c r="AF47">
        <f t="shared" si="29"/>
        <v>0</v>
      </c>
      <c r="AG47">
        <f t="shared" si="30"/>
        <v>0</v>
      </c>
      <c r="AH47">
        <f t="shared" si="31"/>
        <v>0</v>
      </c>
      <c r="AI47">
        <f t="shared" si="32"/>
        <v>0</v>
      </c>
      <c r="AJ47">
        <f t="shared" si="33"/>
        <v>0</v>
      </c>
      <c r="AK47">
        <v>1241.49</v>
      </c>
      <c r="AL47">
        <v>1241.49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1</v>
      </c>
      <c r="AW47">
        <v>1</v>
      </c>
      <c r="AZ47">
        <v>1</v>
      </c>
      <c r="BA47">
        <v>1</v>
      </c>
      <c r="BB47">
        <v>1</v>
      </c>
      <c r="BC47">
        <v>1</v>
      </c>
      <c r="BD47" t="s">
        <v>3</v>
      </c>
      <c r="BE47" t="s">
        <v>3</v>
      </c>
      <c r="BF47" t="s">
        <v>3</v>
      </c>
      <c r="BG47" t="s">
        <v>3</v>
      </c>
      <c r="BH47">
        <v>3</v>
      </c>
      <c r="BI47">
        <v>1</v>
      </c>
      <c r="BJ47" t="s">
        <v>3</v>
      </c>
      <c r="BM47">
        <v>1100</v>
      </c>
      <c r="BN47">
        <v>0</v>
      </c>
      <c r="BO47" t="s">
        <v>3</v>
      </c>
      <c r="BP47">
        <v>0</v>
      </c>
      <c r="BQ47">
        <v>8</v>
      </c>
      <c r="BR47">
        <v>0</v>
      </c>
      <c r="BS47">
        <v>1</v>
      </c>
      <c r="BT47">
        <v>1</v>
      </c>
      <c r="BU47">
        <v>1</v>
      </c>
      <c r="BV47">
        <v>1</v>
      </c>
      <c r="BW47">
        <v>1</v>
      </c>
      <c r="BX47">
        <v>1</v>
      </c>
      <c r="BY47" t="s">
        <v>3</v>
      </c>
      <c r="BZ47">
        <v>0</v>
      </c>
      <c r="CA47">
        <v>0</v>
      </c>
      <c r="CB47" t="s">
        <v>3</v>
      </c>
      <c r="CE47">
        <v>0</v>
      </c>
      <c r="CF47">
        <v>0</v>
      </c>
      <c r="CG47">
        <v>0</v>
      </c>
      <c r="CM47">
        <v>0</v>
      </c>
      <c r="CN47" t="s">
        <v>3</v>
      </c>
      <c r="CO47">
        <v>0</v>
      </c>
      <c r="CP47">
        <f t="shared" si="34"/>
        <v>466800.24</v>
      </c>
      <c r="CQ47">
        <f t="shared" si="35"/>
        <v>1241.49</v>
      </c>
      <c r="CR47">
        <f t="shared" si="36"/>
        <v>0</v>
      </c>
      <c r="CS47">
        <f t="shared" si="37"/>
        <v>0</v>
      </c>
      <c r="CT47">
        <f t="shared" si="38"/>
        <v>0</v>
      </c>
      <c r="CU47">
        <f t="shared" si="39"/>
        <v>0</v>
      </c>
      <c r="CV47">
        <f t="shared" si="40"/>
        <v>0</v>
      </c>
      <c r="CW47">
        <f t="shared" si="41"/>
        <v>0</v>
      </c>
      <c r="CX47">
        <f t="shared" si="42"/>
        <v>0</v>
      </c>
      <c r="CY47">
        <f t="shared" si="43"/>
        <v>0</v>
      </c>
      <c r="CZ47">
        <f t="shared" si="44"/>
        <v>0</v>
      </c>
      <c r="DC47" t="s">
        <v>3</v>
      </c>
      <c r="DD47" t="s">
        <v>3</v>
      </c>
      <c r="DE47" t="s">
        <v>3</v>
      </c>
      <c r="DF47" t="s">
        <v>3</v>
      </c>
      <c r="DG47" t="s">
        <v>3</v>
      </c>
      <c r="DH47" t="s">
        <v>3</v>
      </c>
      <c r="DI47" t="s">
        <v>3</v>
      </c>
      <c r="DJ47" t="s">
        <v>3</v>
      </c>
      <c r="DK47" t="s">
        <v>3</v>
      </c>
      <c r="DL47" t="s">
        <v>3</v>
      </c>
      <c r="DM47" t="s">
        <v>3</v>
      </c>
      <c r="DN47">
        <v>0</v>
      </c>
      <c r="DO47">
        <v>0</v>
      </c>
      <c r="DP47">
        <v>1</v>
      </c>
      <c r="DQ47">
        <v>1</v>
      </c>
      <c r="DU47">
        <v>1003</v>
      </c>
      <c r="DV47" t="s">
        <v>140</v>
      </c>
      <c r="DW47" t="s">
        <v>140</v>
      </c>
      <c r="DX47">
        <v>1</v>
      </c>
      <c r="DZ47" t="s">
        <v>3</v>
      </c>
      <c r="EA47" t="s">
        <v>3</v>
      </c>
      <c r="EB47" t="s">
        <v>3</v>
      </c>
      <c r="EC47" t="s">
        <v>3</v>
      </c>
      <c r="EE47">
        <v>92107766</v>
      </c>
      <c r="EF47">
        <v>8</v>
      </c>
      <c r="EG47" t="s">
        <v>141</v>
      </c>
      <c r="EH47">
        <v>0</v>
      </c>
      <c r="EI47" t="s">
        <v>3</v>
      </c>
      <c r="EJ47">
        <v>1</v>
      </c>
      <c r="EK47">
        <v>1100</v>
      </c>
      <c r="EL47" t="s">
        <v>142</v>
      </c>
      <c r="EM47" t="s">
        <v>143</v>
      </c>
      <c r="EO47" t="s">
        <v>3</v>
      </c>
      <c r="EQ47">
        <v>0</v>
      </c>
      <c r="ER47">
        <v>1241.49</v>
      </c>
      <c r="ES47">
        <v>1241.49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5</v>
      </c>
      <c r="FC47">
        <v>1</v>
      </c>
      <c r="FD47">
        <v>18</v>
      </c>
      <c r="FF47">
        <v>1489.79</v>
      </c>
      <c r="FQ47">
        <v>0</v>
      </c>
      <c r="FR47">
        <f t="shared" si="45"/>
        <v>0</v>
      </c>
      <c r="FS47">
        <v>0</v>
      </c>
      <c r="FX47">
        <v>0</v>
      </c>
      <c r="FY47">
        <v>0</v>
      </c>
      <c r="GA47" t="s">
        <v>144</v>
      </c>
      <c r="GD47">
        <v>1</v>
      </c>
      <c r="GF47">
        <v>-11055314</v>
      </c>
      <c r="GG47">
        <v>2</v>
      </c>
      <c r="GH47">
        <v>3</v>
      </c>
      <c r="GI47">
        <v>-2</v>
      </c>
      <c r="GJ47">
        <v>0</v>
      </c>
      <c r="GK47">
        <v>0</v>
      </c>
      <c r="GL47">
        <f t="shared" si="46"/>
        <v>0</v>
      </c>
      <c r="GM47">
        <f t="shared" si="47"/>
        <v>466800.24</v>
      </c>
      <c r="GN47">
        <f t="shared" si="48"/>
        <v>466800.24</v>
      </c>
      <c r="GO47">
        <f t="shared" si="49"/>
        <v>0</v>
      </c>
      <c r="GP47">
        <f t="shared" si="50"/>
        <v>0</v>
      </c>
      <c r="GR47">
        <v>1</v>
      </c>
      <c r="GS47">
        <v>1</v>
      </c>
      <c r="GT47">
        <v>0</v>
      </c>
      <c r="GU47" t="s">
        <v>3</v>
      </c>
      <c r="GV47">
        <f t="shared" si="51"/>
        <v>0</v>
      </c>
      <c r="GW47">
        <v>1</v>
      </c>
      <c r="GX47">
        <f t="shared" si="52"/>
        <v>0</v>
      </c>
      <c r="HA47">
        <v>0</v>
      </c>
      <c r="HB47">
        <v>0</v>
      </c>
      <c r="HC47">
        <f t="shared" si="53"/>
        <v>0</v>
      </c>
      <c r="HE47" t="s">
        <v>145</v>
      </c>
      <c r="HF47" t="s">
        <v>145</v>
      </c>
      <c r="HM47" t="s">
        <v>3</v>
      </c>
      <c r="HN47" t="s">
        <v>3</v>
      </c>
      <c r="HO47" t="s">
        <v>3</v>
      </c>
      <c r="HP47" t="s">
        <v>3</v>
      </c>
      <c r="HQ47" t="s">
        <v>3</v>
      </c>
      <c r="IK47">
        <v>0</v>
      </c>
    </row>
    <row r="48" spans="1:245" x14ac:dyDescent="0.2">
      <c r="A48">
        <v>17</v>
      </c>
      <c r="B48">
        <v>1</v>
      </c>
      <c r="E48" t="s">
        <v>146</v>
      </c>
      <c r="F48" t="s">
        <v>147</v>
      </c>
      <c r="G48" t="s">
        <v>148</v>
      </c>
      <c r="H48" t="s">
        <v>149</v>
      </c>
      <c r="I48">
        <v>8</v>
      </c>
      <c r="J48">
        <v>0</v>
      </c>
      <c r="K48">
        <v>8</v>
      </c>
      <c r="O48">
        <f t="shared" si="14"/>
        <v>19394.32</v>
      </c>
      <c r="P48">
        <f t="shared" si="15"/>
        <v>19394.32</v>
      </c>
      <c r="Q48">
        <f t="shared" si="16"/>
        <v>0</v>
      </c>
      <c r="R48">
        <f t="shared" si="17"/>
        <v>0</v>
      </c>
      <c r="S48">
        <f t="shared" si="18"/>
        <v>0</v>
      </c>
      <c r="T48">
        <f t="shared" si="19"/>
        <v>0</v>
      </c>
      <c r="U48">
        <f t="shared" si="20"/>
        <v>0</v>
      </c>
      <c r="V48">
        <f t="shared" si="21"/>
        <v>0</v>
      </c>
      <c r="W48">
        <f t="shared" si="22"/>
        <v>0</v>
      </c>
      <c r="X48">
        <f t="shared" si="23"/>
        <v>0</v>
      </c>
      <c r="Y48">
        <f t="shared" si="24"/>
        <v>0</v>
      </c>
      <c r="AA48">
        <v>92408302</v>
      </c>
      <c r="AB48">
        <f t="shared" si="25"/>
        <v>2424.29</v>
      </c>
      <c r="AC48">
        <f t="shared" si="26"/>
        <v>2424.29</v>
      </c>
      <c r="AD48">
        <f t="shared" si="27"/>
        <v>0</v>
      </c>
      <c r="AE48">
        <f t="shared" si="28"/>
        <v>0</v>
      </c>
      <c r="AF48">
        <f t="shared" si="29"/>
        <v>0</v>
      </c>
      <c r="AG48">
        <f t="shared" si="30"/>
        <v>0</v>
      </c>
      <c r="AH48">
        <f t="shared" si="31"/>
        <v>0</v>
      </c>
      <c r="AI48">
        <f t="shared" si="32"/>
        <v>0</v>
      </c>
      <c r="AJ48">
        <f t="shared" si="33"/>
        <v>0</v>
      </c>
      <c r="AK48">
        <v>2424.29</v>
      </c>
      <c r="AL48">
        <v>2424.29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1</v>
      </c>
      <c r="AW48">
        <v>1</v>
      </c>
      <c r="AZ48">
        <v>1</v>
      </c>
      <c r="BA48">
        <v>1</v>
      </c>
      <c r="BB48">
        <v>1</v>
      </c>
      <c r="BC48">
        <v>1</v>
      </c>
      <c r="BD48" t="s">
        <v>3</v>
      </c>
      <c r="BE48" t="s">
        <v>3</v>
      </c>
      <c r="BF48" t="s">
        <v>3</v>
      </c>
      <c r="BG48" t="s">
        <v>3</v>
      </c>
      <c r="BH48">
        <v>3</v>
      </c>
      <c r="BI48">
        <v>1</v>
      </c>
      <c r="BJ48" t="s">
        <v>3</v>
      </c>
      <c r="BM48">
        <v>1100</v>
      </c>
      <c r="BN48">
        <v>0</v>
      </c>
      <c r="BO48" t="s">
        <v>3</v>
      </c>
      <c r="BP48">
        <v>0</v>
      </c>
      <c r="BQ48">
        <v>8</v>
      </c>
      <c r="BR48">
        <v>0</v>
      </c>
      <c r="BS48">
        <v>1</v>
      </c>
      <c r="BT48">
        <v>1</v>
      </c>
      <c r="BU48">
        <v>1</v>
      </c>
      <c r="BV48">
        <v>1</v>
      </c>
      <c r="BW48">
        <v>1</v>
      </c>
      <c r="BX48">
        <v>1</v>
      </c>
      <c r="BY48" t="s">
        <v>3</v>
      </c>
      <c r="BZ48">
        <v>0</v>
      </c>
      <c r="CA48">
        <v>0</v>
      </c>
      <c r="CB48" t="s">
        <v>3</v>
      </c>
      <c r="CE48">
        <v>0</v>
      </c>
      <c r="CF48">
        <v>0</v>
      </c>
      <c r="CG48">
        <v>0</v>
      </c>
      <c r="CM48">
        <v>0</v>
      </c>
      <c r="CN48" t="s">
        <v>3</v>
      </c>
      <c r="CO48">
        <v>0</v>
      </c>
      <c r="CP48">
        <f t="shared" si="34"/>
        <v>19394.32</v>
      </c>
      <c r="CQ48">
        <f t="shared" si="35"/>
        <v>2424.29</v>
      </c>
      <c r="CR48">
        <f t="shared" si="36"/>
        <v>0</v>
      </c>
      <c r="CS48">
        <f t="shared" si="37"/>
        <v>0</v>
      </c>
      <c r="CT48">
        <f t="shared" si="38"/>
        <v>0</v>
      </c>
      <c r="CU48">
        <f t="shared" si="39"/>
        <v>0</v>
      </c>
      <c r="CV48">
        <f t="shared" si="40"/>
        <v>0</v>
      </c>
      <c r="CW48">
        <f t="shared" si="41"/>
        <v>0</v>
      </c>
      <c r="CX48">
        <f t="shared" si="42"/>
        <v>0</v>
      </c>
      <c r="CY48">
        <f t="shared" si="43"/>
        <v>0</v>
      </c>
      <c r="CZ48">
        <f t="shared" si="44"/>
        <v>0</v>
      </c>
      <c r="DC48" t="s">
        <v>3</v>
      </c>
      <c r="DD48" t="s">
        <v>3</v>
      </c>
      <c r="DE48" t="s">
        <v>3</v>
      </c>
      <c r="DF48" t="s">
        <v>3</v>
      </c>
      <c r="DG48" t="s">
        <v>3</v>
      </c>
      <c r="DH48" t="s">
        <v>3</v>
      </c>
      <c r="DI48" t="s">
        <v>3</v>
      </c>
      <c r="DJ48" t="s">
        <v>3</v>
      </c>
      <c r="DK48" t="s">
        <v>3</v>
      </c>
      <c r="DL48" t="s">
        <v>3</v>
      </c>
      <c r="DM48" t="s">
        <v>3</v>
      </c>
      <c r="DN48">
        <v>0</v>
      </c>
      <c r="DO48">
        <v>0</v>
      </c>
      <c r="DP48">
        <v>1</v>
      </c>
      <c r="DQ48">
        <v>1</v>
      </c>
      <c r="DU48">
        <v>1013</v>
      </c>
      <c r="DV48" t="s">
        <v>149</v>
      </c>
      <c r="DW48" t="s">
        <v>149</v>
      </c>
      <c r="DX48">
        <v>1</v>
      </c>
      <c r="DZ48" t="s">
        <v>3</v>
      </c>
      <c r="EA48" t="s">
        <v>3</v>
      </c>
      <c r="EB48" t="s">
        <v>3</v>
      </c>
      <c r="EC48" t="s">
        <v>3</v>
      </c>
      <c r="EE48">
        <v>92107766</v>
      </c>
      <c r="EF48">
        <v>8</v>
      </c>
      <c r="EG48" t="s">
        <v>141</v>
      </c>
      <c r="EH48">
        <v>0</v>
      </c>
      <c r="EI48" t="s">
        <v>3</v>
      </c>
      <c r="EJ48">
        <v>1</v>
      </c>
      <c r="EK48">
        <v>1100</v>
      </c>
      <c r="EL48" t="s">
        <v>142</v>
      </c>
      <c r="EM48" t="s">
        <v>143</v>
      </c>
      <c r="EO48" t="s">
        <v>3</v>
      </c>
      <c r="EQ48">
        <v>0</v>
      </c>
      <c r="ER48">
        <v>2424.29</v>
      </c>
      <c r="ES48">
        <v>2424.29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5</v>
      </c>
      <c r="FC48">
        <v>1</v>
      </c>
      <c r="FD48">
        <v>18</v>
      </c>
      <c r="FF48">
        <v>2909.15</v>
      </c>
      <c r="FQ48">
        <v>0</v>
      </c>
      <c r="FR48">
        <f t="shared" si="45"/>
        <v>0</v>
      </c>
      <c r="FS48">
        <v>0</v>
      </c>
      <c r="FX48">
        <v>0</v>
      </c>
      <c r="FY48">
        <v>0</v>
      </c>
      <c r="GA48" t="s">
        <v>150</v>
      </c>
      <c r="GD48">
        <v>1</v>
      </c>
      <c r="GF48">
        <v>674467355</v>
      </c>
      <c r="GG48">
        <v>2</v>
      </c>
      <c r="GH48">
        <v>3</v>
      </c>
      <c r="GI48">
        <v>-2</v>
      </c>
      <c r="GJ48">
        <v>0</v>
      </c>
      <c r="GK48">
        <v>0</v>
      </c>
      <c r="GL48">
        <f t="shared" si="46"/>
        <v>0</v>
      </c>
      <c r="GM48">
        <f t="shared" si="47"/>
        <v>19394.32</v>
      </c>
      <c r="GN48">
        <f t="shared" si="48"/>
        <v>19394.32</v>
      </c>
      <c r="GO48">
        <f t="shared" si="49"/>
        <v>0</v>
      </c>
      <c r="GP48">
        <f t="shared" si="50"/>
        <v>0</v>
      </c>
      <c r="GR48">
        <v>1</v>
      </c>
      <c r="GS48">
        <v>1</v>
      </c>
      <c r="GT48">
        <v>0</v>
      </c>
      <c r="GU48" t="s">
        <v>3</v>
      </c>
      <c r="GV48">
        <f t="shared" si="51"/>
        <v>0</v>
      </c>
      <c r="GW48">
        <v>1</v>
      </c>
      <c r="GX48">
        <f t="shared" si="52"/>
        <v>0</v>
      </c>
      <c r="HA48">
        <v>0</v>
      </c>
      <c r="HB48">
        <v>0</v>
      </c>
      <c r="HC48">
        <f t="shared" si="53"/>
        <v>0</v>
      </c>
      <c r="HE48" t="s">
        <v>145</v>
      </c>
      <c r="HF48" t="s">
        <v>145</v>
      </c>
      <c r="HM48" t="s">
        <v>3</v>
      </c>
      <c r="HN48" t="s">
        <v>3</v>
      </c>
      <c r="HO48" t="s">
        <v>3</v>
      </c>
      <c r="HP48" t="s">
        <v>3</v>
      </c>
      <c r="HQ48" t="s">
        <v>3</v>
      </c>
      <c r="IK48">
        <v>0</v>
      </c>
    </row>
    <row r="49" spans="1:245" x14ac:dyDescent="0.2">
      <c r="A49">
        <v>17</v>
      </c>
      <c r="B49">
        <v>1</v>
      </c>
      <c r="E49" t="s">
        <v>151</v>
      </c>
      <c r="F49" t="s">
        <v>138</v>
      </c>
      <c r="G49" t="s">
        <v>152</v>
      </c>
      <c r="H49" t="s">
        <v>149</v>
      </c>
      <c r="I49">
        <v>8</v>
      </c>
      <c r="J49">
        <v>0</v>
      </c>
      <c r="K49">
        <v>8</v>
      </c>
      <c r="O49">
        <f t="shared" si="14"/>
        <v>3206.72</v>
      </c>
      <c r="P49">
        <f t="shared" si="15"/>
        <v>3206.72</v>
      </c>
      <c r="Q49">
        <f t="shared" si="16"/>
        <v>0</v>
      </c>
      <c r="R49">
        <f t="shared" si="17"/>
        <v>0</v>
      </c>
      <c r="S49">
        <f t="shared" si="18"/>
        <v>0</v>
      </c>
      <c r="T49">
        <f t="shared" si="19"/>
        <v>0</v>
      </c>
      <c r="U49">
        <f t="shared" si="20"/>
        <v>0</v>
      </c>
      <c r="V49">
        <f t="shared" si="21"/>
        <v>0</v>
      </c>
      <c r="W49">
        <f t="shared" si="22"/>
        <v>0</v>
      </c>
      <c r="X49">
        <f t="shared" si="23"/>
        <v>0</v>
      </c>
      <c r="Y49">
        <f t="shared" si="24"/>
        <v>0</v>
      </c>
      <c r="AA49">
        <v>92408302</v>
      </c>
      <c r="AB49">
        <f t="shared" si="25"/>
        <v>400.84</v>
      </c>
      <c r="AC49">
        <f t="shared" si="26"/>
        <v>400.84</v>
      </c>
      <c r="AD49">
        <f t="shared" si="27"/>
        <v>0</v>
      </c>
      <c r="AE49">
        <f t="shared" si="28"/>
        <v>0</v>
      </c>
      <c r="AF49">
        <f t="shared" si="29"/>
        <v>0</v>
      </c>
      <c r="AG49">
        <f t="shared" si="30"/>
        <v>0</v>
      </c>
      <c r="AH49">
        <f t="shared" si="31"/>
        <v>0</v>
      </c>
      <c r="AI49">
        <f t="shared" si="32"/>
        <v>0</v>
      </c>
      <c r="AJ49">
        <f t="shared" si="33"/>
        <v>0</v>
      </c>
      <c r="AK49">
        <v>400.84</v>
      </c>
      <c r="AL49">
        <v>400.84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1</v>
      </c>
      <c r="AW49">
        <v>1</v>
      </c>
      <c r="AZ49">
        <v>1</v>
      </c>
      <c r="BA49">
        <v>1</v>
      </c>
      <c r="BB49">
        <v>1</v>
      </c>
      <c r="BC49">
        <v>1</v>
      </c>
      <c r="BD49" t="s">
        <v>3</v>
      </c>
      <c r="BE49" t="s">
        <v>3</v>
      </c>
      <c r="BF49" t="s">
        <v>3</v>
      </c>
      <c r="BG49" t="s">
        <v>3</v>
      </c>
      <c r="BH49">
        <v>3</v>
      </c>
      <c r="BI49">
        <v>1</v>
      </c>
      <c r="BJ49" t="s">
        <v>3</v>
      </c>
      <c r="BM49">
        <v>1100</v>
      </c>
      <c r="BN49">
        <v>0</v>
      </c>
      <c r="BO49" t="s">
        <v>3</v>
      </c>
      <c r="BP49">
        <v>0</v>
      </c>
      <c r="BQ49">
        <v>8</v>
      </c>
      <c r="BR49">
        <v>0</v>
      </c>
      <c r="BS49">
        <v>1</v>
      </c>
      <c r="BT49">
        <v>1</v>
      </c>
      <c r="BU49">
        <v>1</v>
      </c>
      <c r="BV49">
        <v>1</v>
      </c>
      <c r="BW49">
        <v>1</v>
      </c>
      <c r="BX49">
        <v>1</v>
      </c>
      <c r="BY49" t="s">
        <v>3</v>
      </c>
      <c r="BZ49">
        <v>0</v>
      </c>
      <c r="CA49">
        <v>0</v>
      </c>
      <c r="CB49" t="s">
        <v>3</v>
      </c>
      <c r="CE49">
        <v>0</v>
      </c>
      <c r="CF49">
        <v>0</v>
      </c>
      <c r="CG49">
        <v>0</v>
      </c>
      <c r="CM49">
        <v>0</v>
      </c>
      <c r="CN49" t="s">
        <v>3</v>
      </c>
      <c r="CO49">
        <v>0</v>
      </c>
      <c r="CP49">
        <f t="shared" si="34"/>
        <v>3206.72</v>
      </c>
      <c r="CQ49">
        <f t="shared" si="35"/>
        <v>400.84</v>
      </c>
      <c r="CR49">
        <f t="shared" si="36"/>
        <v>0</v>
      </c>
      <c r="CS49">
        <f t="shared" si="37"/>
        <v>0</v>
      </c>
      <c r="CT49">
        <f t="shared" si="38"/>
        <v>0</v>
      </c>
      <c r="CU49">
        <f t="shared" si="39"/>
        <v>0</v>
      </c>
      <c r="CV49">
        <f t="shared" si="40"/>
        <v>0</v>
      </c>
      <c r="CW49">
        <f t="shared" si="41"/>
        <v>0</v>
      </c>
      <c r="CX49">
        <f t="shared" si="42"/>
        <v>0</v>
      </c>
      <c r="CY49">
        <f t="shared" si="43"/>
        <v>0</v>
      </c>
      <c r="CZ49">
        <f t="shared" si="44"/>
        <v>0</v>
      </c>
      <c r="DC49" t="s">
        <v>3</v>
      </c>
      <c r="DD49" t="s">
        <v>3</v>
      </c>
      <c r="DE49" t="s">
        <v>3</v>
      </c>
      <c r="DF49" t="s">
        <v>3</v>
      </c>
      <c r="DG49" t="s">
        <v>3</v>
      </c>
      <c r="DH49" t="s">
        <v>3</v>
      </c>
      <c r="DI49" t="s">
        <v>3</v>
      </c>
      <c r="DJ49" t="s">
        <v>3</v>
      </c>
      <c r="DK49" t="s">
        <v>3</v>
      </c>
      <c r="DL49" t="s">
        <v>3</v>
      </c>
      <c r="DM49" t="s">
        <v>3</v>
      </c>
      <c r="DN49">
        <v>0</v>
      </c>
      <c r="DO49">
        <v>0</v>
      </c>
      <c r="DP49">
        <v>1</v>
      </c>
      <c r="DQ49">
        <v>1</v>
      </c>
      <c r="DU49">
        <v>1013</v>
      </c>
      <c r="DV49" t="s">
        <v>149</v>
      </c>
      <c r="DW49" t="s">
        <v>149</v>
      </c>
      <c r="DX49">
        <v>1</v>
      </c>
      <c r="DZ49" t="s">
        <v>3</v>
      </c>
      <c r="EA49" t="s">
        <v>3</v>
      </c>
      <c r="EB49" t="s">
        <v>3</v>
      </c>
      <c r="EC49" t="s">
        <v>3</v>
      </c>
      <c r="EE49">
        <v>92107766</v>
      </c>
      <c r="EF49">
        <v>8</v>
      </c>
      <c r="EG49" t="s">
        <v>141</v>
      </c>
      <c r="EH49">
        <v>0</v>
      </c>
      <c r="EI49" t="s">
        <v>3</v>
      </c>
      <c r="EJ49">
        <v>1</v>
      </c>
      <c r="EK49">
        <v>1100</v>
      </c>
      <c r="EL49" t="s">
        <v>142</v>
      </c>
      <c r="EM49" t="s">
        <v>143</v>
      </c>
      <c r="EO49" t="s">
        <v>3</v>
      </c>
      <c r="EQ49">
        <v>0</v>
      </c>
      <c r="ER49">
        <v>400.84</v>
      </c>
      <c r="ES49">
        <v>400.84</v>
      </c>
      <c r="ET49">
        <v>0</v>
      </c>
      <c r="EU49">
        <v>0</v>
      </c>
      <c r="EV49">
        <v>0</v>
      </c>
      <c r="EW49">
        <v>0</v>
      </c>
      <c r="EX49">
        <v>0</v>
      </c>
      <c r="EY49">
        <v>0</v>
      </c>
      <c r="EZ49">
        <v>5</v>
      </c>
      <c r="FC49">
        <v>1</v>
      </c>
      <c r="FD49">
        <v>18</v>
      </c>
      <c r="FF49">
        <v>481.01</v>
      </c>
      <c r="FQ49">
        <v>0</v>
      </c>
      <c r="FR49">
        <f t="shared" si="45"/>
        <v>0</v>
      </c>
      <c r="FS49">
        <v>0</v>
      </c>
      <c r="FX49">
        <v>0</v>
      </c>
      <c r="FY49">
        <v>0</v>
      </c>
      <c r="GA49" t="s">
        <v>153</v>
      </c>
      <c r="GD49">
        <v>1</v>
      </c>
      <c r="GF49">
        <v>-222453068</v>
      </c>
      <c r="GG49">
        <v>2</v>
      </c>
      <c r="GH49">
        <v>3</v>
      </c>
      <c r="GI49">
        <v>-2</v>
      </c>
      <c r="GJ49">
        <v>0</v>
      </c>
      <c r="GK49">
        <v>0</v>
      </c>
      <c r="GL49">
        <f t="shared" si="46"/>
        <v>0</v>
      </c>
      <c r="GM49">
        <f t="shared" si="47"/>
        <v>3206.72</v>
      </c>
      <c r="GN49">
        <f t="shared" si="48"/>
        <v>3206.72</v>
      </c>
      <c r="GO49">
        <f t="shared" si="49"/>
        <v>0</v>
      </c>
      <c r="GP49">
        <f t="shared" si="50"/>
        <v>0</v>
      </c>
      <c r="GR49">
        <v>1</v>
      </c>
      <c r="GS49">
        <v>1</v>
      </c>
      <c r="GT49">
        <v>0</v>
      </c>
      <c r="GU49" t="s">
        <v>3</v>
      </c>
      <c r="GV49">
        <f t="shared" si="51"/>
        <v>0</v>
      </c>
      <c r="GW49">
        <v>1</v>
      </c>
      <c r="GX49">
        <f t="shared" si="52"/>
        <v>0</v>
      </c>
      <c r="HA49">
        <v>0</v>
      </c>
      <c r="HB49">
        <v>0</v>
      </c>
      <c r="HC49">
        <f t="shared" si="53"/>
        <v>0</v>
      </c>
      <c r="HE49" t="s">
        <v>145</v>
      </c>
      <c r="HF49" t="s">
        <v>145</v>
      </c>
      <c r="HM49" t="s">
        <v>3</v>
      </c>
      <c r="HN49" t="s">
        <v>3</v>
      </c>
      <c r="HO49" t="s">
        <v>3</v>
      </c>
      <c r="HP49" t="s">
        <v>3</v>
      </c>
      <c r="HQ49" t="s">
        <v>3</v>
      </c>
      <c r="IK49">
        <v>0</v>
      </c>
    </row>
    <row r="50" spans="1:245" x14ac:dyDescent="0.2">
      <c r="A50">
        <v>17</v>
      </c>
      <c r="B50">
        <v>1</v>
      </c>
      <c r="E50" t="s">
        <v>154</v>
      </c>
      <c r="F50" t="s">
        <v>155</v>
      </c>
      <c r="G50" t="s">
        <v>156</v>
      </c>
      <c r="H50" t="s">
        <v>157</v>
      </c>
      <c r="I50">
        <v>12</v>
      </c>
      <c r="J50">
        <v>0</v>
      </c>
      <c r="K50">
        <v>12</v>
      </c>
      <c r="O50">
        <f t="shared" si="14"/>
        <v>8160</v>
      </c>
      <c r="P50">
        <f t="shared" si="15"/>
        <v>8160</v>
      </c>
      <c r="Q50">
        <f t="shared" si="16"/>
        <v>0</v>
      </c>
      <c r="R50">
        <f t="shared" si="17"/>
        <v>0</v>
      </c>
      <c r="S50">
        <f t="shared" si="18"/>
        <v>0</v>
      </c>
      <c r="T50">
        <f t="shared" si="19"/>
        <v>0</v>
      </c>
      <c r="U50">
        <f t="shared" si="20"/>
        <v>0</v>
      </c>
      <c r="V50">
        <f t="shared" si="21"/>
        <v>0</v>
      </c>
      <c r="W50">
        <f t="shared" si="22"/>
        <v>0</v>
      </c>
      <c r="X50">
        <f t="shared" si="23"/>
        <v>0</v>
      </c>
      <c r="Y50">
        <f t="shared" si="24"/>
        <v>0</v>
      </c>
      <c r="AA50">
        <v>92408302</v>
      </c>
      <c r="AB50">
        <f t="shared" si="25"/>
        <v>680</v>
      </c>
      <c r="AC50">
        <f t="shared" si="26"/>
        <v>680</v>
      </c>
      <c r="AD50">
        <f t="shared" si="27"/>
        <v>0</v>
      </c>
      <c r="AE50">
        <f t="shared" si="28"/>
        <v>0</v>
      </c>
      <c r="AF50">
        <f t="shared" si="29"/>
        <v>0</v>
      </c>
      <c r="AG50">
        <f t="shared" si="30"/>
        <v>0</v>
      </c>
      <c r="AH50">
        <f t="shared" si="31"/>
        <v>0</v>
      </c>
      <c r="AI50">
        <f t="shared" si="32"/>
        <v>0</v>
      </c>
      <c r="AJ50">
        <f t="shared" si="33"/>
        <v>0</v>
      </c>
      <c r="AK50">
        <v>680</v>
      </c>
      <c r="AL50">
        <v>680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1</v>
      </c>
      <c r="AW50">
        <v>1</v>
      </c>
      <c r="AZ50">
        <v>1</v>
      </c>
      <c r="BA50">
        <v>1</v>
      </c>
      <c r="BB50">
        <v>1</v>
      </c>
      <c r="BC50">
        <v>1</v>
      </c>
      <c r="BD50" t="s">
        <v>3</v>
      </c>
      <c r="BE50" t="s">
        <v>3</v>
      </c>
      <c r="BF50" t="s">
        <v>3</v>
      </c>
      <c r="BG50" t="s">
        <v>3</v>
      </c>
      <c r="BH50">
        <v>3</v>
      </c>
      <c r="BI50">
        <v>1</v>
      </c>
      <c r="BJ50" t="s">
        <v>3</v>
      </c>
      <c r="BM50">
        <v>1100</v>
      </c>
      <c r="BN50">
        <v>0</v>
      </c>
      <c r="BO50" t="s">
        <v>3</v>
      </c>
      <c r="BP50">
        <v>0</v>
      </c>
      <c r="BQ50">
        <v>8</v>
      </c>
      <c r="BR50">
        <v>0</v>
      </c>
      <c r="BS50">
        <v>1</v>
      </c>
      <c r="BT50">
        <v>1</v>
      </c>
      <c r="BU50">
        <v>1</v>
      </c>
      <c r="BV50">
        <v>1</v>
      </c>
      <c r="BW50">
        <v>1</v>
      </c>
      <c r="BX50">
        <v>1</v>
      </c>
      <c r="BY50" t="s">
        <v>3</v>
      </c>
      <c r="BZ50">
        <v>0</v>
      </c>
      <c r="CA50">
        <v>0</v>
      </c>
      <c r="CB50" t="s">
        <v>3</v>
      </c>
      <c r="CE50">
        <v>0</v>
      </c>
      <c r="CF50">
        <v>0</v>
      </c>
      <c r="CG50">
        <v>0</v>
      </c>
      <c r="CM50">
        <v>0</v>
      </c>
      <c r="CN50" t="s">
        <v>3</v>
      </c>
      <c r="CO50">
        <v>0</v>
      </c>
      <c r="CP50">
        <f t="shared" si="34"/>
        <v>8160</v>
      </c>
      <c r="CQ50">
        <f t="shared" si="35"/>
        <v>680</v>
      </c>
      <c r="CR50">
        <f t="shared" si="36"/>
        <v>0</v>
      </c>
      <c r="CS50">
        <f t="shared" si="37"/>
        <v>0</v>
      </c>
      <c r="CT50">
        <f t="shared" si="38"/>
        <v>0</v>
      </c>
      <c r="CU50">
        <f t="shared" si="39"/>
        <v>0</v>
      </c>
      <c r="CV50">
        <f t="shared" si="40"/>
        <v>0</v>
      </c>
      <c r="CW50">
        <f t="shared" si="41"/>
        <v>0</v>
      </c>
      <c r="CX50">
        <f t="shared" si="42"/>
        <v>0</v>
      </c>
      <c r="CY50">
        <f t="shared" si="43"/>
        <v>0</v>
      </c>
      <c r="CZ50">
        <f t="shared" si="44"/>
        <v>0</v>
      </c>
      <c r="DC50" t="s">
        <v>3</v>
      </c>
      <c r="DD50" t="s">
        <v>3</v>
      </c>
      <c r="DE50" t="s">
        <v>3</v>
      </c>
      <c r="DF50" t="s">
        <v>3</v>
      </c>
      <c r="DG50" t="s">
        <v>3</v>
      </c>
      <c r="DH50" t="s">
        <v>3</v>
      </c>
      <c r="DI50" t="s">
        <v>3</v>
      </c>
      <c r="DJ50" t="s">
        <v>3</v>
      </c>
      <c r="DK50" t="s">
        <v>3</v>
      </c>
      <c r="DL50" t="s">
        <v>3</v>
      </c>
      <c r="DM50" t="s">
        <v>3</v>
      </c>
      <c r="DN50">
        <v>0</v>
      </c>
      <c r="DO50">
        <v>0</v>
      </c>
      <c r="DP50">
        <v>1</v>
      </c>
      <c r="DQ50">
        <v>1</v>
      </c>
      <c r="DU50">
        <v>1013</v>
      </c>
      <c r="DV50" t="s">
        <v>157</v>
      </c>
      <c r="DW50" t="s">
        <v>157</v>
      </c>
      <c r="DX50">
        <v>1</v>
      </c>
      <c r="DZ50" t="s">
        <v>3</v>
      </c>
      <c r="EA50" t="s">
        <v>3</v>
      </c>
      <c r="EB50" t="s">
        <v>3</v>
      </c>
      <c r="EC50" t="s">
        <v>3</v>
      </c>
      <c r="EE50">
        <v>92107766</v>
      </c>
      <c r="EF50">
        <v>8</v>
      </c>
      <c r="EG50" t="s">
        <v>141</v>
      </c>
      <c r="EH50">
        <v>0</v>
      </c>
      <c r="EI50" t="s">
        <v>3</v>
      </c>
      <c r="EJ50">
        <v>1</v>
      </c>
      <c r="EK50">
        <v>1100</v>
      </c>
      <c r="EL50" t="s">
        <v>142</v>
      </c>
      <c r="EM50" t="s">
        <v>143</v>
      </c>
      <c r="EO50" t="s">
        <v>3</v>
      </c>
      <c r="EQ50">
        <v>0</v>
      </c>
      <c r="ER50">
        <v>680</v>
      </c>
      <c r="ES50">
        <v>680</v>
      </c>
      <c r="ET50">
        <v>0</v>
      </c>
      <c r="EU50">
        <v>0</v>
      </c>
      <c r="EV50">
        <v>0</v>
      </c>
      <c r="EW50">
        <v>0</v>
      </c>
      <c r="EX50">
        <v>0</v>
      </c>
      <c r="EY50">
        <v>0</v>
      </c>
      <c r="EZ50">
        <v>5</v>
      </c>
      <c r="FC50">
        <v>0</v>
      </c>
      <c r="FD50">
        <v>18</v>
      </c>
      <c r="FF50">
        <v>680</v>
      </c>
      <c r="FQ50">
        <v>0</v>
      </c>
      <c r="FR50">
        <f t="shared" si="45"/>
        <v>0</v>
      </c>
      <c r="FS50">
        <v>0</v>
      </c>
      <c r="FX50">
        <v>0</v>
      </c>
      <c r="FY50">
        <v>0</v>
      </c>
      <c r="GA50" t="s">
        <v>3</v>
      </c>
      <c r="GD50">
        <v>1</v>
      </c>
      <c r="GF50">
        <v>-1271418113</v>
      </c>
      <c r="GG50">
        <v>2</v>
      </c>
      <c r="GH50">
        <v>3</v>
      </c>
      <c r="GI50">
        <v>-2</v>
      </c>
      <c r="GJ50">
        <v>0</v>
      </c>
      <c r="GK50">
        <v>0</v>
      </c>
      <c r="GL50">
        <f t="shared" si="46"/>
        <v>0</v>
      </c>
      <c r="GM50">
        <f t="shared" si="47"/>
        <v>8160</v>
      </c>
      <c r="GN50">
        <f t="shared" si="48"/>
        <v>8160</v>
      </c>
      <c r="GO50">
        <f t="shared" si="49"/>
        <v>0</v>
      </c>
      <c r="GP50">
        <f t="shared" si="50"/>
        <v>0</v>
      </c>
      <c r="GR50">
        <v>1</v>
      </c>
      <c r="GS50">
        <v>1</v>
      </c>
      <c r="GT50">
        <v>0</v>
      </c>
      <c r="GU50" t="s">
        <v>3</v>
      </c>
      <c r="GV50">
        <f t="shared" si="51"/>
        <v>0</v>
      </c>
      <c r="GW50">
        <v>1</v>
      </c>
      <c r="GX50">
        <f t="shared" si="52"/>
        <v>0</v>
      </c>
      <c r="HA50">
        <v>0</v>
      </c>
      <c r="HB50">
        <v>0</v>
      </c>
      <c r="HC50">
        <f t="shared" si="53"/>
        <v>0</v>
      </c>
      <c r="HE50" t="s">
        <v>3</v>
      </c>
      <c r="HF50" t="s">
        <v>3</v>
      </c>
      <c r="HM50" t="s">
        <v>3</v>
      </c>
      <c r="HN50" t="s">
        <v>3</v>
      </c>
      <c r="HO50" t="s">
        <v>3</v>
      </c>
      <c r="HP50" t="s">
        <v>3</v>
      </c>
      <c r="HQ50" t="s">
        <v>3</v>
      </c>
      <c r="IK50">
        <v>0</v>
      </c>
    </row>
    <row r="51" spans="1:245" x14ac:dyDescent="0.2">
      <c r="A51">
        <v>17</v>
      </c>
      <c r="B51">
        <v>1</v>
      </c>
      <c r="E51" t="s">
        <v>158</v>
      </c>
      <c r="F51" t="s">
        <v>159</v>
      </c>
      <c r="G51" t="s">
        <v>160</v>
      </c>
      <c r="H51" t="s">
        <v>149</v>
      </c>
      <c r="I51">
        <v>8</v>
      </c>
      <c r="J51">
        <v>0</v>
      </c>
      <c r="K51">
        <v>8</v>
      </c>
      <c r="O51">
        <f t="shared" si="14"/>
        <v>42274</v>
      </c>
      <c r="P51">
        <f t="shared" si="15"/>
        <v>42274</v>
      </c>
      <c r="Q51">
        <f t="shared" si="16"/>
        <v>0</v>
      </c>
      <c r="R51">
        <f t="shared" si="17"/>
        <v>0</v>
      </c>
      <c r="S51">
        <f t="shared" si="18"/>
        <v>0</v>
      </c>
      <c r="T51">
        <f t="shared" si="19"/>
        <v>0</v>
      </c>
      <c r="U51">
        <f t="shared" si="20"/>
        <v>0</v>
      </c>
      <c r="V51">
        <f t="shared" si="21"/>
        <v>0</v>
      </c>
      <c r="W51">
        <f t="shared" si="22"/>
        <v>0</v>
      </c>
      <c r="X51">
        <f t="shared" si="23"/>
        <v>0</v>
      </c>
      <c r="Y51">
        <f t="shared" si="24"/>
        <v>0</v>
      </c>
      <c r="AA51">
        <v>92408302</v>
      </c>
      <c r="AB51">
        <f t="shared" si="25"/>
        <v>5284.25</v>
      </c>
      <c r="AC51">
        <f t="shared" si="26"/>
        <v>5284.25</v>
      </c>
      <c r="AD51">
        <f t="shared" si="27"/>
        <v>0</v>
      </c>
      <c r="AE51">
        <f t="shared" si="28"/>
        <v>0</v>
      </c>
      <c r="AF51">
        <f t="shared" si="29"/>
        <v>0</v>
      </c>
      <c r="AG51">
        <f t="shared" si="30"/>
        <v>0</v>
      </c>
      <c r="AH51">
        <f t="shared" si="31"/>
        <v>0</v>
      </c>
      <c r="AI51">
        <f t="shared" si="32"/>
        <v>0</v>
      </c>
      <c r="AJ51">
        <f t="shared" si="33"/>
        <v>0</v>
      </c>
      <c r="AK51">
        <v>5284.25</v>
      </c>
      <c r="AL51">
        <v>5284.25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1</v>
      </c>
      <c r="AW51">
        <v>1</v>
      </c>
      <c r="AZ51">
        <v>1</v>
      </c>
      <c r="BA51">
        <v>1</v>
      </c>
      <c r="BB51">
        <v>1</v>
      </c>
      <c r="BC51">
        <v>1</v>
      </c>
      <c r="BD51" t="s">
        <v>3</v>
      </c>
      <c r="BE51" t="s">
        <v>3</v>
      </c>
      <c r="BF51" t="s">
        <v>3</v>
      </c>
      <c r="BG51" t="s">
        <v>3</v>
      </c>
      <c r="BH51">
        <v>3</v>
      </c>
      <c r="BI51">
        <v>1</v>
      </c>
      <c r="BJ51" t="s">
        <v>3</v>
      </c>
      <c r="BM51">
        <v>1100</v>
      </c>
      <c r="BN51">
        <v>0</v>
      </c>
      <c r="BO51" t="s">
        <v>3</v>
      </c>
      <c r="BP51">
        <v>0</v>
      </c>
      <c r="BQ51">
        <v>8</v>
      </c>
      <c r="BR51">
        <v>0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1</v>
      </c>
      <c r="BY51" t="s">
        <v>3</v>
      </c>
      <c r="BZ51">
        <v>0</v>
      </c>
      <c r="CA51">
        <v>0</v>
      </c>
      <c r="CB51" t="s">
        <v>3</v>
      </c>
      <c r="CE51">
        <v>0</v>
      </c>
      <c r="CF51">
        <v>0</v>
      </c>
      <c r="CG51">
        <v>0</v>
      </c>
      <c r="CM51">
        <v>0</v>
      </c>
      <c r="CN51" t="s">
        <v>3</v>
      </c>
      <c r="CO51">
        <v>0</v>
      </c>
      <c r="CP51">
        <f t="shared" si="34"/>
        <v>42274</v>
      </c>
      <c r="CQ51">
        <f t="shared" si="35"/>
        <v>5284.25</v>
      </c>
      <c r="CR51">
        <f t="shared" si="36"/>
        <v>0</v>
      </c>
      <c r="CS51">
        <f t="shared" si="37"/>
        <v>0</v>
      </c>
      <c r="CT51">
        <f t="shared" si="38"/>
        <v>0</v>
      </c>
      <c r="CU51">
        <f t="shared" si="39"/>
        <v>0</v>
      </c>
      <c r="CV51">
        <f t="shared" si="40"/>
        <v>0</v>
      </c>
      <c r="CW51">
        <f t="shared" si="41"/>
        <v>0</v>
      </c>
      <c r="CX51">
        <f t="shared" si="42"/>
        <v>0</v>
      </c>
      <c r="CY51">
        <f t="shared" si="43"/>
        <v>0</v>
      </c>
      <c r="CZ51">
        <f t="shared" si="44"/>
        <v>0</v>
      </c>
      <c r="DC51" t="s">
        <v>3</v>
      </c>
      <c r="DD51" t="s">
        <v>3</v>
      </c>
      <c r="DE51" t="s">
        <v>3</v>
      </c>
      <c r="DF51" t="s">
        <v>3</v>
      </c>
      <c r="DG51" t="s">
        <v>3</v>
      </c>
      <c r="DH51" t="s">
        <v>3</v>
      </c>
      <c r="DI51" t="s">
        <v>3</v>
      </c>
      <c r="DJ51" t="s">
        <v>3</v>
      </c>
      <c r="DK51" t="s">
        <v>3</v>
      </c>
      <c r="DL51" t="s">
        <v>3</v>
      </c>
      <c r="DM51" t="s">
        <v>3</v>
      </c>
      <c r="DN51">
        <v>0</v>
      </c>
      <c r="DO51">
        <v>0</v>
      </c>
      <c r="DP51">
        <v>1</v>
      </c>
      <c r="DQ51">
        <v>1</v>
      </c>
      <c r="DU51">
        <v>1013</v>
      </c>
      <c r="DV51" t="s">
        <v>149</v>
      </c>
      <c r="DW51" t="s">
        <v>149</v>
      </c>
      <c r="DX51">
        <v>1</v>
      </c>
      <c r="DZ51" t="s">
        <v>3</v>
      </c>
      <c r="EA51" t="s">
        <v>3</v>
      </c>
      <c r="EB51" t="s">
        <v>3</v>
      </c>
      <c r="EC51" t="s">
        <v>3</v>
      </c>
      <c r="EE51">
        <v>92107766</v>
      </c>
      <c r="EF51">
        <v>8</v>
      </c>
      <c r="EG51" t="s">
        <v>141</v>
      </c>
      <c r="EH51">
        <v>0</v>
      </c>
      <c r="EI51" t="s">
        <v>3</v>
      </c>
      <c r="EJ51">
        <v>1</v>
      </c>
      <c r="EK51">
        <v>1100</v>
      </c>
      <c r="EL51" t="s">
        <v>142</v>
      </c>
      <c r="EM51" t="s">
        <v>143</v>
      </c>
      <c r="EO51" t="s">
        <v>3</v>
      </c>
      <c r="EQ51">
        <v>0</v>
      </c>
      <c r="ER51">
        <v>5284.25</v>
      </c>
      <c r="ES51">
        <v>5284.25</v>
      </c>
      <c r="ET51">
        <v>0</v>
      </c>
      <c r="EU51">
        <v>0</v>
      </c>
      <c r="EV51">
        <v>0</v>
      </c>
      <c r="EW51">
        <v>0</v>
      </c>
      <c r="EX51">
        <v>0</v>
      </c>
      <c r="EY51">
        <v>0</v>
      </c>
      <c r="EZ51">
        <v>5</v>
      </c>
      <c r="FC51">
        <v>1</v>
      </c>
      <c r="FD51">
        <v>18</v>
      </c>
      <c r="FF51">
        <v>6341.1</v>
      </c>
      <c r="FQ51">
        <v>0</v>
      </c>
      <c r="FR51">
        <f t="shared" si="45"/>
        <v>0</v>
      </c>
      <c r="FS51">
        <v>0</v>
      </c>
      <c r="FX51">
        <v>0</v>
      </c>
      <c r="FY51">
        <v>0</v>
      </c>
      <c r="GA51" t="s">
        <v>161</v>
      </c>
      <c r="GD51">
        <v>1</v>
      </c>
      <c r="GF51">
        <v>1309940854</v>
      </c>
      <c r="GG51">
        <v>2</v>
      </c>
      <c r="GH51">
        <v>3</v>
      </c>
      <c r="GI51">
        <v>-2</v>
      </c>
      <c r="GJ51">
        <v>0</v>
      </c>
      <c r="GK51">
        <v>0</v>
      </c>
      <c r="GL51">
        <f t="shared" si="46"/>
        <v>0</v>
      </c>
      <c r="GM51">
        <f t="shared" si="47"/>
        <v>42274</v>
      </c>
      <c r="GN51">
        <f t="shared" si="48"/>
        <v>42274</v>
      </c>
      <c r="GO51">
        <f t="shared" si="49"/>
        <v>0</v>
      </c>
      <c r="GP51">
        <f t="shared" si="50"/>
        <v>0</v>
      </c>
      <c r="GR51">
        <v>1</v>
      </c>
      <c r="GS51">
        <v>1</v>
      </c>
      <c r="GT51">
        <v>0</v>
      </c>
      <c r="GU51" t="s">
        <v>3</v>
      </c>
      <c r="GV51">
        <f t="shared" si="51"/>
        <v>0</v>
      </c>
      <c r="GW51">
        <v>1</v>
      </c>
      <c r="GX51">
        <f t="shared" si="52"/>
        <v>0</v>
      </c>
      <c r="HA51">
        <v>0</v>
      </c>
      <c r="HB51">
        <v>0</v>
      </c>
      <c r="HC51">
        <f t="shared" si="53"/>
        <v>0</v>
      </c>
      <c r="HE51" t="s">
        <v>145</v>
      </c>
      <c r="HF51" t="s">
        <v>145</v>
      </c>
      <c r="HM51" t="s">
        <v>3</v>
      </c>
      <c r="HN51" t="s">
        <v>3</v>
      </c>
      <c r="HO51" t="s">
        <v>3</v>
      </c>
      <c r="HP51" t="s">
        <v>3</v>
      </c>
      <c r="HQ51" t="s">
        <v>3</v>
      </c>
      <c r="IK51">
        <v>0</v>
      </c>
    </row>
    <row r="52" spans="1:245" x14ac:dyDescent="0.2">
      <c r="A52">
        <v>17</v>
      </c>
      <c r="B52">
        <v>1</v>
      </c>
      <c r="E52" t="s">
        <v>162</v>
      </c>
      <c r="F52" t="s">
        <v>138</v>
      </c>
      <c r="G52" t="s">
        <v>163</v>
      </c>
      <c r="H52" t="s">
        <v>149</v>
      </c>
      <c r="I52">
        <v>8</v>
      </c>
      <c r="J52">
        <v>0</v>
      </c>
      <c r="K52">
        <v>8</v>
      </c>
      <c r="O52">
        <f t="shared" si="14"/>
        <v>3580</v>
      </c>
      <c r="P52">
        <f t="shared" si="15"/>
        <v>3580</v>
      </c>
      <c r="Q52">
        <f t="shared" si="16"/>
        <v>0</v>
      </c>
      <c r="R52">
        <f t="shared" si="17"/>
        <v>0</v>
      </c>
      <c r="S52">
        <f t="shared" si="18"/>
        <v>0</v>
      </c>
      <c r="T52">
        <f t="shared" si="19"/>
        <v>0</v>
      </c>
      <c r="U52">
        <f t="shared" si="20"/>
        <v>0</v>
      </c>
      <c r="V52">
        <f t="shared" si="21"/>
        <v>0</v>
      </c>
      <c r="W52">
        <f t="shared" si="22"/>
        <v>0</v>
      </c>
      <c r="X52">
        <f t="shared" si="23"/>
        <v>0</v>
      </c>
      <c r="Y52">
        <f t="shared" si="24"/>
        <v>0</v>
      </c>
      <c r="AA52">
        <v>92408302</v>
      </c>
      <c r="AB52">
        <f t="shared" si="25"/>
        <v>447.5</v>
      </c>
      <c r="AC52">
        <f t="shared" si="26"/>
        <v>447.5</v>
      </c>
      <c r="AD52">
        <f t="shared" si="27"/>
        <v>0</v>
      </c>
      <c r="AE52">
        <f t="shared" si="28"/>
        <v>0</v>
      </c>
      <c r="AF52">
        <f t="shared" si="29"/>
        <v>0</v>
      </c>
      <c r="AG52">
        <f t="shared" si="30"/>
        <v>0</v>
      </c>
      <c r="AH52">
        <f t="shared" si="31"/>
        <v>0</v>
      </c>
      <c r="AI52">
        <f t="shared" si="32"/>
        <v>0</v>
      </c>
      <c r="AJ52">
        <f t="shared" si="33"/>
        <v>0</v>
      </c>
      <c r="AK52">
        <v>447.5</v>
      </c>
      <c r="AL52">
        <v>447.5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1</v>
      </c>
      <c r="AW52">
        <v>1</v>
      </c>
      <c r="AZ52">
        <v>1</v>
      </c>
      <c r="BA52">
        <v>1</v>
      </c>
      <c r="BB52">
        <v>1</v>
      </c>
      <c r="BC52">
        <v>1</v>
      </c>
      <c r="BD52" t="s">
        <v>3</v>
      </c>
      <c r="BE52" t="s">
        <v>3</v>
      </c>
      <c r="BF52" t="s">
        <v>3</v>
      </c>
      <c r="BG52" t="s">
        <v>3</v>
      </c>
      <c r="BH52">
        <v>3</v>
      </c>
      <c r="BI52">
        <v>1</v>
      </c>
      <c r="BJ52" t="s">
        <v>3</v>
      </c>
      <c r="BM52">
        <v>1100</v>
      </c>
      <c r="BN52">
        <v>0</v>
      </c>
      <c r="BO52" t="s">
        <v>3</v>
      </c>
      <c r="BP52">
        <v>0</v>
      </c>
      <c r="BQ52">
        <v>8</v>
      </c>
      <c r="BR52">
        <v>0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 t="s">
        <v>3</v>
      </c>
      <c r="BZ52">
        <v>0</v>
      </c>
      <c r="CA52">
        <v>0</v>
      </c>
      <c r="CB52" t="s">
        <v>3</v>
      </c>
      <c r="CE52">
        <v>0</v>
      </c>
      <c r="CF52">
        <v>0</v>
      </c>
      <c r="CG52">
        <v>0</v>
      </c>
      <c r="CM52">
        <v>0</v>
      </c>
      <c r="CN52" t="s">
        <v>3</v>
      </c>
      <c r="CO52">
        <v>0</v>
      </c>
      <c r="CP52">
        <f t="shared" si="34"/>
        <v>3580</v>
      </c>
      <c r="CQ52">
        <f t="shared" si="35"/>
        <v>447.5</v>
      </c>
      <c r="CR52">
        <f t="shared" si="36"/>
        <v>0</v>
      </c>
      <c r="CS52">
        <f t="shared" si="37"/>
        <v>0</v>
      </c>
      <c r="CT52">
        <f t="shared" si="38"/>
        <v>0</v>
      </c>
      <c r="CU52">
        <f t="shared" si="39"/>
        <v>0</v>
      </c>
      <c r="CV52">
        <f t="shared" si="40"/>
        <v>0</v>
      </c>
      <c r="CW52">
        <f t="shared" si="41"/>
        <v>0</v>
      </c>
      <c r="CX52">
        <f t="shared" si="42"/>
        <v>0</v>
      </c>
      <c r="CY52">
        <f t="shared" si="43"/>
        <v>0</v>
      </c>
      <c r="CZ52">
        <f t="shared" si="44"/>
        <v>0</v>
      </c>
      <c r="DC52" t="s">
        <v>3</v>
      </c>
      <c r="DD52" t="s">
        <v>3</v>
      </c>
      <c r="DE52" t="s">
        <v>3</v>
      </c>
      <c r="DF52" t="s">
        <v>3</v>
      </c>
      <c r="DG52" t="s">
        <v>3</v>
      </c>
      <c r="DH52" t="s">
        <v>3</v>
      </c>
      <c r="DI52" t="s">
        <v>3</v>
      </c>
      <c r="DJ52" t="s">
        <v>3</v>
      </c>
      <c r="DK52" t="s">
        <v>3</v>
      </c>
      <c r="DL52" t="s">
        <v>3</v>
      </c>
      <c r="DM52" t="s">
        <v>3</v>
      </c>
      <c r="DN52">
        <v>0</v>
      </c>
      <c r="DO52">
        <v>0</v>
      </c>
      <c r="DP52">
        <v>1</v>
      </c>
      <c r="DQ52">
        <v>1</v>
      </c>
      <c r="DU52">
        <v>1013</v>
      </c>
      <c r="DV52" t="s">
        <v>149</v>
      </c>
      <c r="DW52" t="s">
        <v>149</v>
      </c>
      <c r="DX52">
        <v>1</v>
      </c>
      <c r="DZ52" t="s">
        <v>3</v>
      </c>
      <c r="EA52" t="s">
        <v>3</v>
      </c>
      <c r="EB52" t="s">
        <v>3</v>
      </c>
      <c r="EC52" t="s">
        <v>3</v>
      </c>
      <c r="EE52">
        <v>92107766</v>
      </c>
      <c r="EF52">
        <v>8</v>
      </c>
      <c r="EG52" t="s">
        <v>141</v>
      </c>
      <c r="EH52">
        <v>0</v>
      </c>
      <c r="EI52" t="s">
        <v>3</v>
      </c>
      <c r="EJ52">
        <v>1</v>
      </c>
      <c r="EK52">
        <v>1100</v>
      </c>
      <c r="EL52" t="s">
        <v>142</v>
      </c>
      <c r="EM52" t="s">
        <v>143</v>
      </c>
      <c r="EO52" t="s">
        <v>3</v>
      </c>
      <c r="EQ52">
        <v>0</v>
      </c>
      <c r="ER52">
        <v>447.5</v>
      </c>
      <c r="ES52">
        <v>447.5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EZ52">
        <v>5</v>
      </c>
      <c r="FC52">
        <v>1</v>
      </c>
      <c r="FD52">
        <v>18</v>
      </c>
      <c r="FF52">
        <v>537</v>
      </c>
      <c r="FQ52">
        <v>0</v>
      </c>
      <c r="FR52">
        <f t="shared" si="45"/>
        <v>0</v>
      </c>
      <c r="FS52">
        <v>0</v>
      </c>
      <c r="FX52">
        <v>0</v>
      </c>
      <c r="FY52">
        <v>0</v>
      </c>
      <c r="GA52" t="s">
        <v>164</v>
      </c>
      <c r="GD52">
        <v>1</v>
      </c>
      <c r="GF52">
        <v>-578495841</v>
      </c>
      <c r="GG52">
        <v>2</v>
      </c>
      <c r="GH52">
        <v>3</v>
      </c>
      <c r="GI52">
        <v>-2</v>
      </c>
      <c r="GJ52">
        <v>0</v>
      </c>
      <c r="GK52">
        <v>0</v>
      </c>
      <c r="GL52">
        <f t="shared" si="46"/>
        <v>0</v>
      </c>
      <c r="GM52">
        <f t="shared" si="47"/>
        <v>3580</v>
      </c>
      <c r="GN52">
        <f t="shared" si="48"/>
        <v>3580</v>
      </c>
      <c r="GO52">
        <f t="shared" si="49"/>
        <v>0</v>
      </c>
      <c r="GP52">
        <f t="shared" si="50"/>
        <v>0</v>
      </c>
      <c r="GR52">
        <v>1</v>
      </c>
      <c r="GS52">
        <v>1</v>
      </c>
      <c r="GT52">
        <v>0</v>
      </c>
      <c r="GU52" t="s">
        <v>3</v>
      </c>
      <c r="GV52">
        <f t="shared" si="51"/>
        <v>0</v>
      </c>
      <c r="GW52">
        <v>1</v>
      </c>
      <c r="GX52">
        <f t="shared" si="52"/>
        <v>0</v>
      </c>
      <c r="HA52">
        <v>0</v>
      </c>
      <c r="HB52">
        <v>0</v>
      </c>
      <c r="HC52">
        <f t="shared" si="53"/>
        <v>0</v>
      </c>
      <c r="HE52" t="s">
        <v>145</v>
      </c>
      <c r="HF52" t="s">
        <v>145</v>
      </c>
      <c r="HM52" t="s">
        <v>3</v>
      </c>
      <c r="HN52" t="s">
        <v>3</v>
      </c>
      <c r="HO52" t="s">
        <v>3</v>
      </c>
      <c r="HP52" t="s">
        <v>3</v>
      </c>
      <c r="HQ52" t="s">
        <v>3</v>
      </c>
      <c r="IK52">
        <v>0</v>
      </c>
    </row>
    <row r="53" spans="1:245" x14ac:dyDescent="0.2">
      <c r="A53">
        <v>17</v>
      </c>
      <c r="B53">
        <v>1</v>
      </c>
      <c r="E53" t="s">
        <v>165</v>
      </c>
      <c r="F53" t="s">
        <v>138</v>
      </c>
      <c r="G53" t="s">
        <v>166</v>
      </c>
      <c r="H53" t="s">
        <v>149</v>
      </c>
      <c r="I53">
        <v>4</v>
      </c>
      <c r="J53">
        <v>0</v>
      </c>
      <c r="K53">
        <v>4</v>
      </c>
      <c r="O53">
        <f t="shared" si="14"/>
        <v>4566.68</v>
      </c>
      <c r="P53">
        <f t="shared" si="15"/>
        <v>4566.68</v>
      </c>
      <c r="Q53">
        <f t="shared" si="16"/>
        <v>0</v>
      </c>
      <c r="R53">
        <f t="shared" si="17"/>
        <v>0</v>
      </c>
      <c r="S53">
        <f t="shared" si="18"/>
        <v>0</v>
      </c>
      <c r="T53">
        <f t="shared" si="19"/>
        <v>0</v>
      </c>
      <c r="U53">
        <f t="shared" si="20"/>
        <v>0</v>
      </c>
      <c r="V53">
        <f t="shared" si="21"/>
        <v>0</v>
      </c>
      <c r="W53">
        <f t="shared" si="22"/>
        <v>0</v>
      </c>
      <c r="X53">
        <f t="shared" si="23"/>
        <v>0</v>
      </c>
      <c r="Y53">
        <f t="shared" si="24"/>
        <v>0</v>
      </c>
      <c r="AA53">
        <v>92408302</v>
      </c>
      <c r="AB53">
        <f t="shared" si="25"/>
        <v>1141.67</v>
      </c>
      <c r="AC53">
        <f t="shared" si="26"/>
        <v>1141.67</v>
      </c>
      <c r="AD53">
        <f t="shared" si="27"/>
        <v>0</v>
      </c>
      <c r="AE53">
        <f t="shared" si="28"/>
        <v>0</v>
      </c>
      <c r="AF53">
        <f t="shared" si="29"/>
        <v>0</v>
      </c>
      <c r="AG53">
        <f t="shared" si="30"/>
        <v>0</v>
      </c>
      <c r="AH53">
        <f t="shared" si="31"/>
        <v>0</v>
      </c>
      <c r="AI53">
        <f t="shared" si="32"/>
        <v>0</v>
      </c>
      <c r="AJ53">
        <f t="shared" si="33"/>
        <v>0</v>
      </c>
      <c r="AK53">
        <v>1141.67</v>
      </c>
      <c r="AL53">
        <v>1141.67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1</v>
      </c>
      <c r="AW53">
        <v>1</v>
      </c>
      <c r="AZ53">
        <v>1</v>
      </c>
      <c r="BA53">
        <v>1</v>
      </c>
      <c r="BB53">
        <v>1</v>
      </c>
      <c r="BC53">
        <v>1</v>
      </c>
      <c r="BD53" t="s">
        <v>3</v>
      </c>
      <c r="BE53" t="s">
        <v>3</v>
      </c>
      <c r="BF53" t="s">
        <v>3</v>
      </c>
      <c r="BG53" t="s">
        <v>3</v>
      </c>
      <c r="BH53">
        <v>3</v>
      </c>
      <c r="BI53">
        <v>1</v>
      </c>
      <c r="BJ53" t="s">
        <v>3</v>
      </c>
      <c r="BM53">
        <v>1100</v>
      </c>
      <c r="BN53">
        <v>0</v>
      </c>
      <c r="BO53" t="s">
        <v>3</v>
      </c>
      <c r="BP53">
        <v>0</v>
      </c>
      <c r="BQ53">
        <v>8</v>
      </c>
      <c r="BR53">
        <v>0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 t="s">
        <v>3</v>
      </c>
      <c r="BZ53">
        <v>0</v>
      </c>
      <c r="CA53">
        <v>0</v>
      </c>
      <c r="CB53" t="s">
        <v>3</v>
      </c>
      <c r="CE53">
        <v>0</v>
      </c>
      <c r="CF53">
        <v>0</v>
      </c>
      <c r="CG53">
        <v>0</v>
      </c>
      <c r="CM53">
        <v>0</v>
      </c>
      <c r="CN53" t="s">
        <v>3</v>
      </c>
      <c r="CO53">
        <v>0</v>
      </c>
      <c r="CP53">
        <f t="shared" si="34"/>
        <v>4566.68</v>
      </c>
      <c r="CQ53">
        <f t="shared" si="35"/>
        <v>1141.67</v>
      </c>
      <c r="CR53">
        <f t="shared" si="36"/>
        <v>0</v>
      </c>
      <c r="CS53">
        <f t="shared" si="37"/>
        <v>0</v>
      </c>
      <c r="CT53">
        <f t="shared" si="38"/>
        <v>0</v>
      </c>
      <c r="CU53">
        <f t="shared" si="39"/>
        <v>0</v>
      </c>
      <c r="CV53">
        <f t="shared" si="40"/>
        <v>0</v>
      </c>
      <c r="CW53">
        <f t="shared" si="41"/>
        <v>0</v>
      </c>
      <c r="CX53">
        <f t="shared" si="42"/>
        <v>0</v>
      </c>
      <c r="CY53">
        <f t="shared" si="43"/>
        <v>0</v>
      </c>
      <c r="CZ53">
        <f t="shared" si="44"/>
        <v>0</v>
      </c>
      <c r="DC53" t="s">
        <v>3</v>
      </c>
      <c r="DD53" t="s">
        <v>3</v>
      </c>
      <c r="DE53" t="s">
        <v>3</v>
      </c>
      <c r="DF53" t="s">
        <v>3</v>
      </c>
      <c r="DG53" t="s">
        <v>3</v>
      </c>
      <c r="DH53" t="s">
        <v>3</v>
      </c>
      <c r="DI53" t="s">
        <v>3</v>
      </c>
      <c r="DJ53" t="s">
        <v>3</v>
      </c>
      <c r="DK53" t="s">
        <v>3</v>
      </c>
      <c r="DL53" t="s">
        <v>3</v>
      </c>
      <c r="DM53" t="s">
        <v>3</v>
      </c>
      <c r="DN53">
        <v>0</v>
      </c>
      <c r="DO53">
        <v>0</v>
      </c>
      <c r="DP53">
        <v>1</v>
      </c>
      <c r="DQ53">
        <v>1</v>
      </c>
      <c r="DU53">
        <v>1013</v>
      </c>
      <c r="DV53" t="s">
        <v>149</v>
      </c>
      <c r="DW53" t="s">
        <v>149</v>
      </c>
      <c r="DX53">
        <v>1</v>
      </c>
      <c r="DZ53" t="s">
        <v>3</v>
      </c>
      <c r="EA53" t="s">
        <v>3</v>
      </c>
      <c r="EB53" t="s">
        <v>3</v>
      </c>
      <c r="EC53" t="s">
        <v>3</v>
      </c>
      <c r="EE53">
        <v>92107766</v>
      </c>
      <c r="EF53">
        <v>8</v>
      </c>
      <c r="EG53" t="s">
        <v>141</v>
      </c>
      <c r="EH53">
        <v>0</v>
      </c>
      <c r="EI53" t="s">
        <v>3</v>
      </c>
      <c r="EJ53">
        <v>1</v>
      </c>
      <c r="EK53">
        <v>1100</v>
      </c>
      <c r="EL53" t="s">
        <v>142</v>
      </c>
      <c r="EM53" t="s">
        <v>143</v>
      </c>
      <c r="EO53" t="s">
        <v>3</v>
      </c>
      <c r="EQ53">
        <v>0</v>
      </c>
      <c r="ER53">
        <v>1141.67</v>
      </c>
      <c r="ES53">
        <v>1141.67</v>
      </c>
      <c r="ET53">
        <v>0</v>
      </c>
      <c r="EU53">
        <v>0</v>
      </c>
      <c r="EV53">
        <v>0</v>
      </c>
      <c r="EW53">
        <v>0</v>
      </c>
      <c r="EX53">
        <v>0</v>
      </c>
      <c r="EY53">
        <v>0</v>
      </c>
      <c r="EZ53">
        <v>5</v>
      </c>
      <c r="FC53">
        <v>1</v>
      </c>
      <c r="FD53">
        <v>18</v>
      </c>
      <c r="FF53">
        <v>1370</v>
      </c>
      <c r="FQ53">
        <v>0</v>
      </c>
      <c r="FR53">
        <f t="shared" si="45"/>
        <v>0</v>
      </c>
      <c r="FS53">
        <v>0</v>
      </c>
      <c r="FX53">
        <v>0</v>
      </c>
      <c r="FY53">
        <v>0</v>
      </c>
      <c r="GA53" t="s">
        <v>167</v>
      </c>
      <c r="GD53">
        <v>1</v>
      </c>
      <c r="GF53">
        <v>1407656630</v>
      </c>
      <c r="GG53">
        <v>2</v>
      </c>
      <c r="GH53">
        <v>3</v>
      </c>
      <c r="GI53">
        <v>-2</v>
      </c>
      <c r="GJ53">
        <v>0</v>
      </c>
      <c r="GK53">
        <v>0</v>
      </c>
      <c r="GL53">
        <f t="shared" si="46"/>
        <v>0</v>
      </c>
      <c r="GM53">
        <f t="shared" si="47"/>
        <v>4566.68</v>
      </c>
      <c r="GN53">
        <f t="shared" si="48"/>
        <v>4566.68</v>
      </c>
      <c r="GO53">
        <f t="shared" si="49"/>
        <v>0</v>
      </c>
      <c r="GP53">
        <f t="shared" si="50"/>
        <v>0</v>
      </c>
      <c r="GR53">
        <v>1</v>
      </c>
      <c r="GS53">
        <v>1</v>
      </c>
      <c r="GT53">
        <v>0</v>
      </c>
      <c r="GU53" t="s">
        <v>3</v>
      </c>
      <c r="GV53">
        <f t="shared" si="51"/>
        <v>0</v>
      </c>
      <c r="GW53">
        <v>1</v>
      </c>
      <c r="GX53">
        <f t="shared" si="52"/>
        <v>0</v>
      </c>
      <c r="HA53">
        <v>0</v>
      </c>
      <c r="HB53">
        <v>0</v>
      </c>
      <c r="HC53">
        <f t="shared" si="53"/>
        <v>0</v>
      </c>
      <c r="HE53" t="s">
        <v>145</v>
      </c>
      <c r="HF53" t="s">
        <v>145</v>
      </c>
      <c r="HM53" t="s">
        <v>3</v>
      </c>
      <c r="HN53" t="s">
        <v>3</v>
      </c>
      <c r="HO53" t="s">
        <v>3</v>
      </c>
      <c r="HP53" t="s">
        <v>3</v>
      </c>
      <c r="HQ53" t="s">
        <v>3</v>
      </c>
      <c r="IK53">
        <v>0</v>
      </c>
    </row>
    <row r="54" spans="1:245" x14ac:dyDescent="0.2">
      <c r="A54">
        <v>17</v>
      </c>
      <c r="B54">
        <v>1</v>
      </c>
      <c r="E54" t="s">
        <v>168</v>
      </c>
      <c r="F54" t="s">
        <v>138</v>
      </c>
      <c r="G54" t="s">
        <v>169</v>
      </c>
      <c r="H54" t="s">
        <v>149</v>
      </c>
      <c r="I54">
        <v>8</v>
      </c>
      <c r="J54">
        <v>0</v>
      </c>
      <c r="K54">
        <v>8</v>
      </c>
      <c r="O54">
        <f t="shared" si="14"/>
        <v>486.32</v>
      </c>
      <c r="P54">
        <f t="shared" si="15"/>
        <v>486.32</v>
      </c>
      <c r="Q54">
        <f t="shared" si="16"/>
        <v>0</v>
      </c>
      <c r="R54">
        <f t="shared" si="17"/>
        <v>0</v>
      </c>
      <c r="S54">
        <f t="shared" si="18"/>
        <v>0</v>
      </c>
      <c r="T54">
        <f t="shared" si="19"/>
        <v>0</v>
      </c>
      <c r="U54">
        <f t="shared" si="20"/>
        <v>0</v>
      </c>
      <c r="V54">
        <f t="shared" si="21"/>
        <v>0</v>
      </c>
      <c r="W54">
        <f t="shared" si="22"/>
        <v>0</v>
      </c>
      <c r="X54">
        <f t="shared" si="23"/>
        <v>0</v>
      </c>
      <c r="Y54">
        <f t="shared" si="24"/>
        <v>0</v>
      </c>
      <c r="AA54">
        <v>92408302</v>
      </c>
      <c r="AB54">
        <f t="shared" si="25"/>
        <v>60.79</v>
      </c>
      <c r="AC54">
        <f t="shared" si="26"/>
        <v>60.79</v>
      </c>
      <c r="AD54">
        <f t="shared" si="27"/>
        <v>0</v>
      </c>
      <c r="AE54">
        <f t="shared" si="28"/>
        <v>0</v>
      </c>
      <c r="AF54">
        <f t="shared" si="29"/>
        <v>0</v>
      </c>
      <c r="AG54">
        <f t="shared" si="30"/>
        <v>0</v>
      </c>
      <c r="AH54">
        <f t="shared" si="31"/>
        <v>0</v>
      </c>
      <c r="AI54">
        <f t="shared" si="32"/>
        <v>0</v>
      </c>
      <c r="AJ54">
        <f t="shared" si="33"/>
        <v>0</v>
      </c>
      <c r="AK54">
        <v>60.79</v>
      </c>
      <c r="AL54">
        <v>60.79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1</v>
      </c>
      <c r="AW54">
        <v>1</v>
      </c>
      <c r="AZ54">
        <v>1</v>
      </c>
      <c r="BA54">
        <v>1</v>
      </c>
      <c r="BB54">
        <v>1</v>
      </c>
      <c r="BC54">
        <v>1</v>
      </c>
      <c r="BD54" t="s">
        <v>3</v>
      </c>
      <c r="BE54" t="s">
        <v>3</v>
      </c>
      <c r="BF54" t="s">
        <v>3</v>
      </c>
      <c r="BG54" t="s">
        <v>3</v>
      </c>
      <c r="BH54">
        <v>3</v>
      </c>
      <c r="BI54">
        <v>1</v>
      </c>
      <c r="BJ54" t="s">
        <v>3</v>
      </c>
      <c r="BM54">
        <v>1100</v>
      </c>
      <c r="BN54">
        <v>0</v>
      </c>
      <c r="BO54" t="s">
        <v>3</v>
      </c>
      <c r="BP54">
        <v>0</v>
      </c>
      <c r="BQ54">
        <v>8</v>
      </c>
      <c r="BR54">
        <v>0</v>
      </c>
      <c r="BS54">
        <v>1</v>
      </c>
      <c r="BT54">
        <v>1</v>
      </c>
      <c r="BU54">
        <v>1</v>
      </c>
      <c r="BV54">
        <v>1</v>
      </c>
      <c r="BW54">
        <v>1</v>
      </c>
      <c r="BX54">
        <v>1</v>
      </c>
      <c r="BY54" t="s">
        <v>3</v>
      </c>
      <c r="BZ54">
        <v>0</v>
      </c>
      <c r="CA54">
        <v>0</v>
      </c>
      <c r="CB54" t="s">
        <v>3</v>
      </c>
      <c r="CE54">
        <v>0</v>
      </c>
      <c r="CF54">
        <v>0</v>
      </c>
      <c r="CG54">
        <v>0</v>
      </c>
      <c r="CM54">
        <v>0</v>
      </c>
      <c r="CN54" t="s">
        <v>3</v>
      </c>
      <c r="CO54">
        <v>0</v>
      </c>
      <c r="CP54">
        <f t="shared" si="34"/>
        <v>486.32</v>
      </c>
      <c r="CQ54">
        <f t="shared" si="35"/>
        <v>60.79</v>
      </c>
      <c r="CR54">
        <f t="shared" si="36"/>
        <v>0</v>
      </c>
      <c r="CS54">
        <f t="shared" si="37"/>
        <v>0</v>
      </c>
      <c r="CT54">
        <f t="shared" si="38"/>
        <v>0</v>
      </c>
      <c r="CU54">
        <f t="shared" si="39"/>
        <v>0</v>
      </c>
      <c r="CV54">
        <f t="shared" si="40"/>
        <v>0</v>
      </c>
      <c r="CW54">
        <f t="shared" si="41"/>
        <v>0</v>
      </c>
      <c r="CX54">
        <f t="shared" si="42"/>
        <v>0</v>
      </c>
      <c r="CY54">
        <f t="shared" si="43"/>
        <v>0</v>
      </c>
      <c r="CZ54">
        <f t="shared" si="44"/>
        <v>0</v>
      </c>
      <c r="DC54" t="s">
        <v>3</v>
      </c>
      <c r="DD54" t="s">
        <v>3</v>
      </c>
      <c r="DE54" t="s">
        <v>3</v>
      </c>
      <c r="DF54" t="s">
        <v>3</v>
      </c>
      <c r="DG54" t="s">
        <v>3</v>
      </c>
      <c r="DH54" t="s">
        <v>3</v>
      </c>
      <c r="DI54" t="s">
        <v>3</v>
      </c>
      <c r="DJ54" t="s">
        <v>3</v>
      </c>
      <c r="DK54" t="s">
        <v>3</v>
      </c>
      <c r="DL54" t="s">
        <v>3</v>
      </c>
      <c r="DM54" t="s">
        <v>3</v>
      </c>
      <c r="DN54">
        <v>0</v>
      </c>
      <c r="DO54">
        <v>0</v>
      </c>
      <c r="DP54">
        <v>1</v>
      </c>
      <c r="DQ54">
        <v>1</v>
      </c>
      <c r="DU54">
        <v>1013</v>
      </c>
      <c r="DV54" t="s">
        <v>149</v>
      </c>
      <c r="DW54" t="s">
        <v>149</v>
      </c>
      <c r="DX54">
        <v>1</v>
      </c>
      <c r="DZ54" t="s">
        <v>3</v>
      </c>
      <c r="EA54" t="s">
        <v>3</v>
      </c>
      <c r="EB54" t="s">
        <v>3</v>
      </c>
      <c r="EC54" t="s">
        <v>3</v>
      </c>
      <c r="EE54">
        <v>92107766</v>
      </c>
      <c r="EF54">
        <v>8</v>
      </c>
      <c r="EG54" t="s">
        <v>141</v>
      </c>
      <c r="EH54">
        <v>0</v>
      </c>
      <c r="EI54" t="s">
        <v>3</v>
      </c>
      <c r="EJ54">
        <v>1</v>
      </c>
      <c r="EK54">
        <v>1100</v>
      </c>
      <c r="EL54" t="s">
        <v>142</v>
      </c>
      <c r="EM54" t="s">
        <v>143</v>
      </c>
      <c r="EO54" t="s">
        <v>3</v>
      </c>
      <c r="EQ54">
        <v>0</v>
      </c>
      <c r="ER54">
        <v>60.79</v>
      </c>
      <c r="ES54">
        <v>60.79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5</v>
      </c>
      <c r="FC54">
        <v>1</v>
      </c>
      <c r="FD54">
        <v>18</v>
      </c>
      <c r="FF54">
        <v>72.95</v>
      </c>
      <c r="FQ54">
        <v>0</v>
      </c>
      <c r="FR54">
        <f t="shared" si="45"/>
        <v>0</v>
      </c>
      <c r="FS54">
        <v>0</v>
      </c>
      <c r="FX54">
        <v>0</v>
      </c>
      <c r="FY54">
        <v>0</v>
      </c>
      <c r="GA54" t="s">
        <v>170</v>
      </c>
      <c r="GD54">
        <v>1</v>
      </c>
      <c r="GF54">
        <v>960299088</v>
      </c>
      <c r="GG54">
        <v>2</v>
      </c>
      <c r="GH54">
        <v>3</v>
      </c>
      <c r="GI54">
        <v>-2</v>
      </c>
      <c r="GJ54">
        <v>0</v>
      </c>
      <c r="GK54">
        <v>0</v>
      </c>
      <c r="GL54">
        <f t="shared" si="46"/>
        <v>0</v>
      </c>
      <c r="GM54">
        <f t="shared" si="47"/>
        <v>486.32</v>
      </c>
      <c r="GN54">
        <f t="shared" si="48"/>
        <v>486.32</v>
      </c>
      <c r="GO54">
        <f t="shared" si="49"/>
        <v>0</v>
      </c>
      <c r="GP54">
        <f t="shared" si="50"/>
        <v>0</v>
      </c>
      <c r="GR54">
        <v>1</v>
      </c>
      <c r="GS54">
        <v>1</v>
      </c>
      <c r="GT54">
        <v>0</v>
      </c>
      <c r="GU54" t="s">
        <v>3</v>
      </c>
      <c r="GV54">
        <f t="shared" si="51"/>
        <v>0</v>
      </c>
      <c r="GW54">
        <v>1</v>
      </c>
      <c r="GX54">
        <f t="shared" si="52"/>
        <v>0</v>
      </c>
      <c r="HA54">
        <v>0</v>
      </c>
      <c r="HB54">
        <v>0</v>
      </c>
      <c r="HC54">
        <f t="shared" si="53"/>
        <v>0</v>
      </c>
      <c r="HE54" t="s">
        <v>145</v>
      </c>
      <c r="HF54" t="s">
        <v>145</v>
      </c>
      <c r="HM54" t="s">
        <v>3</v>
      </c>
      <c r="HN54" t="s">
        <v>3</v>
      </c>
      <c r="HO54" t="s">
        <v>3</v>
      </c>
      <c r="HP54" t="s">
        <v>3</v>
      </c>
      <c r="HQ54" t="s">
        <v>3</v>
      </c>
      <c r="IK54">
        <v>0</v>
      </c>
    </row>
    <row r="55" spans="1:245" x14ac:dyDescent="0.2">
      <c r="A55">
        <v>17</v>
      </c>
      <c r="B55">
        <v>1</v>
      </c>
      <c r="E55" t="s">
        <v>171</v>
      </c>
      <c r="F55" t="s">
        <v>138</v>
      </c>
      <c r="G55" t="s">
        <v>172</v>
      </c>
      <c r="H55" t="s">
        <v>149</v>
      </c>
      <c r="I55">
        <v>10</v>
      </c>
      <c r="J55">
        <v>0</v>
      </c>
      <c r="K55">
        <v>10</v>
      </c>
      <c r="O55">
        <f t="shared" si="14"/>
        <v>15641.7</v>
      </c>
      <c r="P55">
        <f t="shared" si="15"/>
        <v>15641.7</v>
      </c>
      <c r="Q55">
        <f t="shared" si="16"/>
        <v>0</v>
      </c>
      <c r="R55">
        <f t="shared" si="17"/>
        <v>0</v>
      </c>
      <c r="S55">
        <f t="shared" si="18"/>
        <v>0</v>
      </c>
      <c r="T55">
        <f t="shared" si="19"/>
        <v>0</v>
      </c>
      <c r="U55">
        <f t="shared" si="20"/>
        <v>0</v>
      </c>
      <c r="V55">
        <f t="shared" si="21"/>
        <v>0</v>
      </c>
      <c r="W55">
        <f t="shared" si="22"/>
        <v>0</v>
      </c>
      <c r="X55">
        <f t="shared" si="23"/>
        <v>0</v>
      </c>
      <c r="Y55">
        <f t="shared" si="24"/>
        <v>0</v>
      </c>
      <c r="AA55">
        <v>92408302</v>
      </c>
      <c r="AB55">
        <f t="shared" si="25"/>
        <v>1564.17</v>
      </c>
      <c r="AC55">
        <f t="shared" si="26"/>
        <v>1564.17</v>
      </c>
      <c r="AD55">
        <f t="shared" si="27"/>
        <v>0</v>
      </c>
      <c r="AE55">
        <f t="shared" si="28"/>
        <v>0</v>
      </c>
      <c r="AF55">
        <f t="shared" si="29"/>
        <v>0</v>
      </c>
      <c r="AG55">
        <f t="shared" si="30"/>
        <v>0</v>
      </c>
      <c r="AH55">
        <f t="shared" si="31"/>
        <v>0</v>
      </c>
      <c r="AI55">
        <f t="shared" si="32"/>
        <v>0</v>
      </c>
      <c r="AJ55">
        <f t="shared" si="33"/>
        <v>0</v>
      </c>
      <c r="AK55">
        <v>1564.17</v>
      </c>
      <c r="AL55">
        <v>1564.17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1</v>
      </c>
      <c r="AW55">
        <v>1</v>
      </c>
      <c r="AZ55">
        <v>1</v>
      </c>
      <c r="BA55">
        <v>1</v>
      </c>
      <c r="BB55">
        <v>1</v>
      </c>
      <c r="BC55">
        <v>1</v>
      </c>
      <c r="BD55" t="s">
        <v>3</v>
      </c>
      <c r="BE55" t="s">
        <v>3</v>
      </c>
      <c r="BF55" t="s">
        <v>3</v>
      </c>
      <c r="BG55" t="s">
        <v>3</v>
      </c>
      <c r="BH55">
        <v>3</v>
      </c>
      <c r="BI55">
        <v>1</v>
      </c>
      <c r="BJ55" t="s">
        <v>3</v>
      </c>
      <c r="BM55">
        <v>1100</v>
      </c>
      <c r="BN55">
        <v>0</v>
      </c>
      <c r="BO55" t="s">
        <v>3</v>
      </c>
      <c r="BP55">
        <v>0</v>
      </c>
      <c r="BQ55">
        <v>8</v>
      </c>
      <c r="BR55">
        <v>0</v>
      </c>
      <c r="BS55">
        <v>1</v>
      </c>
      <c r="BT55">
        <v>1</v>
      </c>
      <c r="BU55">
        <v>1</v>
      </c>
      <c r="BV55">
        <v>1</v>
      </c>
      <c r="BW55">
        <v>1</v>
      </c>
      <c r="BX55">
        <v>1</v>
      </c>
      <c r="BY55" t="s">
        <v>3</v>
      </c>
      <c r="BZ55">
        <v>0</v>
      </c>
      <c r="CA55">
        <v>0</v>
      </c>
      <c r="CB55" t="s">
        <v>3</v>
      </c>
      <c r="CE55">
        <v>0</v>
      </c>
      <c r="CF55">
        <v>0</v>
      </c>
      <c r="CG55">
        <v>0</v>
      </c>
      <c r="CM55">
        <v>0</v>
      </c>
      <c r="CN55" t="s">
        <v>3</v>
      </c>
      <c r="CO55">
        <v>0</v>
      </c>
      <c r="CP55">
        <f t="shared" si="34"/>
        <v>15641.7</v>
      </c>
      <c r="CQ55">
        <f t="shared" si="35"/>
        <v>1564.17</v>
      </c>
      <c r="CR55">
        <f t="shared" si="36"/>
        <v>0</v>
      </c>
      <c r="CS55">
        <f t="shared" si="37"/>
        <v>0</v>
      </c>
      <c r="CT55">
        <f t="shared" si="38"/>
        <v>0</v>
      </c>
      <c r="CU55">
        <f t="shared" si="39"/>
        <v>0</v>
      </c>
      <c r="CV55">
        <f t="shared" si="40"/>
        <v>0</v>
      </c>
      <c r="CW55">
        <f t="shared" si="41"/>
        <v>0</v>
      </c>
      <c r="CX55">
        <f t="shared" si="42"/>
        <v>0</v>
      </c>
      <c r="CY55">
        <f t="shared" si="43"/>
        <v>0</v>
      </c>
      <c r="CZ55">
        <f t="shared" si="44"/>
        <v>0</v>
      </c>
      <c r="DC55" t="s">
        <v>3</v>
      </c>
      <c r="DD55" t="s">
        <v>3</v>
      </c>
      <c r="DE55" t="s">
        <v>3</v>
      </c>
      <c r="DF55" t="s">
        <v>3</v>
      </c>
      <c r="DG55" t="s">
        <v>3</v>
      </c>
      <c r="DH55" t="s">
        <v>3</v>
      </c>
      <c r="DI55" t="s">
        <v>3</v>
      </c>
      <c r="DJ55" t="s">
        <v>3</v>
      </c>
      <c r="DK55" t="s">
        <v>3</v>
      </c>
      <c r="DL55" t="s">
        <v>3</v>
      </c>
      <c r="DM55" t="s">
        <v>3</v>
      </c>
      <c r="DN55">
        <v>0</v>
      </c>
      <c r="DO55">
        <v>0</v>
      </c>
      <c r="DP55">
        <v>1</v>
      </c>
      <c r="DQ55">
        <v>1</v>
      </c>
      <c r="DU55">
        <v>1013</v>
      </c>
      <c r="DV55" t="s">
        <v>149</v>
      </c>
      <c r="DW55" t="s">
        <v>149</v>
      </c>
      <c r="DX55">
        <v>1</v>
      </c>
      <c r="DZ55" t="s">
        <v>3</v>
      </c>
      <c r="EA55" t="s">
        <v>3</v>
      </c>
      <c r="EB55" t="s">
        <v>3</v>
      </c>
      <c r="EC55" t="s">
        <v>3</v>
      </c>
      <c r="EE55">
        <v>92107766</v>
      </c>
      <c r="EF55">
        <v>8</v>
      </c>
      <c r="EG55" t="s">
        <v>141</v>
      </c>
      <c r="EH55">
        <v>0</v>
      </c>
      <c r="EI55" t="s">
        <v>3</v>
      </c>
      <c r="EJ55">
        <v>1</v>
      </c>
      <c r="EK55">
        <v>1100</v>
      </c>
      <c r="EL55" t="s">
        <v>142</v>
      </c>
      <c r="EM55" t="s">
        <v>143</v>
      </c>
      <c r="EO55" t="s">
        <v>3</v>
      </c>
      <c r="EQ55">
        <v>0</v>
      </c>
      <c r="ER55">
        <v>1564.17</v>
      </c>
      <c r="ES55">
        <v>1564.17</v>
      </c>
      <c r="ET55">
        <v>0</v>
      </c>
      <c r="EU55">
        <v>0</v>
      </c>
      <c r="EV55">
        <v>0</v>
      </c>
      <c r="EW55">
        <v>0</v>
      </c>
      <c r="EX55">
        <v>0</v>
      </c>
      <c r="EY55">
        <v>0</v>
      </c>
      <c r="EZ55">
        <v>5</v>
      </c>
      <c r="FC55">
        <v>1</v>
      </c>
      <c r="FD55">
        <v>18</v>
      </c>
      <c r="FF55">
        <v>1877</v>
      </c>
      <c r="FQ55">
        <v>0</v>
      </c>
      <c r="FR55">
        <f t="shared" si="45"/>
        <v>0</v>
      </c>
      <c r="FS55">
        <v>0</v>
      </c>
      <c r="FX55">
        <v>0</v>
      </c>
      <c r="FY55">
        <v>0</v>
      </c>
      <c r="GA55" t="s">
        <v>173</v>
      </c>
      <c r="GD55">
        <v>1</v>
      </c>
      <c r="GF55">
        <v>292916482</v>
      </c>
      <c r="GG55">
        <v>2</v>
      </c>
      <c r="GH55">
        <v>3</v>
      </c>
      <c r="GI55">
        <v>-2</v>
      </c>
      <c r="GJ55">
        <v>0</v>
      </c>
      <c r="GK55">
        <v>0</v>
      </c>
      <c r="GL55">
        <f t="shared" si="46"/>
        <v>0</v>
      </c>
      <c r="GM55">
        <f t="shared" si="47"/>
        <v>15641.7</v>
      </c>
      <c r="GN55">
        <f t="shared" si="48"/>
        <v>15641.7</v>
      </c>
      <c r="GO55">
        <f t="shared" si="49"/>
        <v>0</v>
      </c>
      <c r="GP55">
        <f t="shared" si="50"/>
        <v>0</v>
      </c>
      <c r="GR55">
        <v>1</v>
      </c>
      <c r="GS55">
        <v>1</v>
      </c>
      <c r="GT55">
        <v>0</v>
      </c>
      <c r="GU55" t="s">
        <v>3</v>
      </c>
      <c r="GV55">
        <f t="shared" si="51"/>
        <v>0</v>
      </c>
      <c r="GW55">
        <v>1</v>
      </c>
      <c r="GX55">
        <f t="shared" si="52"/>
        <v>0</v>
      </c>
      <c r="HA55">
        <v>0</v>
      </c>
      <c r="HB55">
        <v>0</v>
      </c>
      <c r="HC55">
        <f t="shared" si="53"/>
        <v>0</v>
      </c>
      <c r="HE55" t="s">
        <v>145</v>
      </c>
      <c r="HF55" t="s">
        <v>145</v>
      </c>
      <c r="HM55" t="s">
        <v>3</v>
      </c>
      <c r="HN55" t="s">
        <v>3</v>
      </c>
      <c r="HO55" t="s">
        <v>3</v>
      </c>
      <c r="HP55" t="s">
        <v>3</v>
      </c>
      <c r="HQ55" t="s">
        <v>3</v>
      </c>
      <c r="IK55">
        <v>0</v>
      </c>
    </row>
    <row r="56" spans="1:245" x14ac:dyDescent="0.2">
      <c r="A56">
        <v>17</v>
      </c>
      <c r="B56">
        <v>1</v>
      </c>
      <c r="E56" t="s">
        <v>174</v>
      </c>
      <c r="F56" t="s">
        <v>138</v>
      </c>
      <c r="G56" t="s">
        <v>175</v>
      </c>
      <c r="H56" t="s">
        <v>149</v>
      </c>
      <c r="I56">
        <v>50</v>
      </c>
      <c r="J56">
        <v>0</v>
      </c>
      <c r="K56">
        <v>50</v>
      </c>
      <c r="O56">
        <f t="shared" si="14"/>
        <v>750</v>
      </c>
      <c r="P56">
        <f t="shared" si="15"/>
        <v>750</v>
      </c>
      <c r="Q56">
        <f t="shared" si="16"/>
        <v>0</v>
      </c>
      <c r="R56">
        <f t="shared" si="17"/>
        <v>0</v>
      </c>
      <c r="S56">
        <f t="shared" si="18"/>
        <v>0</v>
      </c>
      <c r="T56">
        <f t="shared" si="19"/>
        <v>0</v>
      </c>
      <c r="U56">
        <f t="shared" si="20"/>
        <v>0</v>
      </c>
      <c r="V56">
        <f t="shared" si="21"/>
        <v>0</v>
      </c>
      <c r="W56">
        <f t="shared" si="22"/>
        <v>0</v>
      </c>
      <c r="X56">
        <f t="shared" si="23"/>
        <v>0</v>
      </c>
      <c r="Y56">
        <f t="shared" si="24"/>
        <v>0</v>
      </c>
      <c r="AA56">
        <v>92408302</v>
      </c>
      <c r="AB56">
        <f t="shared" si="25"/>
        <v>15</v>
      </c>
      <c r="AC56">
        <f t="shared" si="26"/>
        <v>15</v>
      </c>
      <c r="AD56">
        <f t="shared" si="27"/>
        <v>0</v>
      </c>
      <c r="AE56">
        <f t="shared" si="28"/>
        <v>0</v>
      </c>
      <c r="AF56">
        <f t="shared" si="29"/>
        <v>0</v>
      </c>
      <c r="AG56">
        <f t="shared" si="30"/>
        <v>0</v>
      </c>
      <c r="AH56">
        <f t="shared" si="31"/>
        <v>0</v>
      </c>
      <c r="AI56">
        <f t="shared" si="32"/>
        <v>0</v>
      </c>
      <c r="AJ56">
        <f t="shared" si="33"/>
        <v>0</v>
      </c>
      <c r="AK56">
        <v>15</v>
      </c>
      <c r="AL56">
        <v>15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1</v>
      </c>
      <c r="AW56">
        <v>1</v>
      </c>
      <c r="AZ56">
        <v>1</v>
      </c>
      <c r="BA56">
        <v>1</v>
      </c>
      <c r="BB56">
        <v>1</v>
      </c>
      <c r="BC56">
        <v>1</v>
      </c>
      <c r="BD56" t="s">
        <v>3</v>
      </c>
      <c r="BE56" t="s">
        <v>3</v>
      </c>
      <c r="BF56" t="s">
        <v>3</v>
      </c>
      <c r="BG56" t="s">
        <v>3</v>
      </c>
      <c r="BH56">
        <v>3</v>
      </c>
      <c r="BI56">
        <v>1</v>
      </c>
      <c r="BJ56" t="s">
        <v>3</v>
      </c>
      <c r="BM56">
        <v>1100</v>
      </c>
      <c r="BN56">
        <v>0</v>
      </c>
      <c r="BO56" t="s">
        <v>3</v>
      </c>
      <c r="BP56">
        <v>0</v>
      </c>
      <c r="BQ56">
        <v>8</v>
      </c>
      <c r="BR56">
        <v>0</v>
      </c>
      <c r="BS56">
        <v>1</v>
      </c>
      <c r="BT56">
        <v>1</v>
      </c>
      <c r="BU56">
        <v>1</v>
      </c>
      <c r="BV56">
        <v>1</v>
      </c>
      <c r="BW56">
        <v>1</v>
      </c>
      <c r="BX56">
        <v>1</v>
      </c>
      <c r="BY56" t="s">
        <v>3</v>
      </c>
      <c r="BZ56">
        <v>0</v>
      </c>
      <c r="CA56">
        <v>0</v>
      </c>
      <c r="CB56" t="s">
        <v>3</v>
      </c>
      <c r="CE56">
        <v>0</v>
      </c>
      <c r="CF56">
        <v>0</v>
      </c>
      <c r="CG56">
        <v>0</v>
      </c>
      <c r="CM56">
        <v>0</v>
      </c>
      <c r="CN56" t="s">
        <v>3</v>
      </c>
      <c r="CO56">
        <v>0</v>
      </c>
      <c r="CP56">
        <f t="shared" si="34"/>
        <v>750</v>
      </c>
      <c r="CQ56">
        <f t="shared" si="35"/>
        <v>15</v>
      </c>
      <c r="CR56">
        <f t="shared" si="36"/>
        <v>0</v>
      </c>
      <c r="CS56">
        <f t="shared" si="37"/>
        <v>0</v>
      </c>
      <c r="CT56">
        <f t="shared" si="38"/>
        <v>0</v>
      </c>
      <c r="CU56">
        <f t="shared" si="39"/>
        <v>0</v>
      </c>
      <c r="CV56">
        <f t="shared" si="40"/>
        <v>0</v>
      </c>
      <c r="CW56">
        <f t="shared" si="41"/>
        <v>0</v>
      </c>
      <c r="CX56">
        <f t="shared" si="42"/>
        <v>0</v>
      </c>
      <c r="CY56">
        <f t="shared" si="43"/>
        <v>0</v>
      </c>
      <c r="CZ56">
        <f t="shared" si="44"/>
        <v>0</v>
      </c>
      <c r="DC56" t="s">
        <v>3</v>
      </c>
      <c r="DD56" t="s">
        <v>3</v>
      </c>
      <c r="DE56" t="s">
        <v>3</v>
      </c>
      <c r="DF56" t="s">
        <v>3</v>
      </c>
      <c r="DG56" t="s">
        <v>3</v>
      </c>
      <c r="DH56" t="s">
        <v>3</v>
      </c>
      <c r="DI56" t="s">
        <v>3</v>
      </c>
      <c r="DJ56" t="s">
        <v>3</v>
      </c>
      <c r="DK56" t="s">
        <v>3</v>
      </c>
      <c r="DL56" t="s">
        <v>3</v>
      </c>
      <c r="DM56" t="s">
        <v>3</v>
      </c>
      <c r="DN56">
        <v>0</v>
      </c>
      <c r="DO56">
        <v>0</v>
      </c>
      <c r="DP56">
        <v>1</v>
      </c>
      <c r="DQ56">
        <v>1</v>
      </c>
      <c r="DU56">
        <v>1013</v>
      </c>
      <c r="DV56" t="s">
        <v>149</v>
      </c>
      <c r="DW56" t="s">
        <v>149</v>
      </c>
      <c r="DX56">
        <v>1</v>
      </c>
      <c r="DZ56" t="s">
        <v>3</v>
      </c>
      <c r="EA56" t="s">
        <v>3</v>
      </c>
      <c r="EB56" t="s">
        <v>3</v>
      </c>
      <c r="EC56" t="s">
        <v>3</v>
      </c>
      <c r="EE56">
        <v>92107766</v>
      </c>
      <c r="EF56">
        <v>8</v>
      </c>
      <c r="EG56" t="s">
        <v>141</v>
      </c>
      <c r="EH56">
        <v>0</v>
      </c>
      <c r="EI56" t="s">
        <v>3</v>
      </c>
      <c r="EJ56">
        <v>1</v>
      </c>
      <c r="EK56">
        <v>1100</v>
      </c>
      <c r="EL56" t="s">
        <v>142</v>
      </c>
      <c r="EM56" t="s">
        <v>143</v>
      </c>
      <c r="EO56" t="s">
        <v>3</v>
      </c>
      <c r="EQ56">
        <v>0</v>
      </c>
      <c r="ER56">
        <v>15</v>
      </c>
      <c r="ES56">
        <v>15</v>
      </c>
      <c r="ET56">
        <v>0</v>
      </c>
      <c r="EU56">
        <v>0</v>
      </c>
      <c r="EV56">
        <v>0</v>
      </c>
      <c r="EW56">
        <v>0</v>
      </c>
      <c r="EX56">
        <v>0</v>
      </c>
      <c r="EY56">
        <v>0</v>
      </c>
      <c r="EZ56">
        <v>5</v>
      </c>
      <c r="FC56">
        <v>1</v>
      </c>
      <c r="FD56">
        <v>18</v>
      </c>
      <c r="FF56">
        <v>18</v>
      </c>
      <c r="FQ56">
        <v>0</v>
      </c>
      <c r="FR56">
        <f t="shared" si="45"/>
        <v>0</v>
      </c>
      <c r="FS56">
        <v>0</v>
      </c>
      <c r="FX56">
        <v>0</v>
      </c>
      <c r="FY56">
        <v>0</v>
      </c>
      <c r="GA56" t="s">
        <v>176</v>
      </c>
      <c r="GD56">
        <v>1</v>
      </c>
      <c r="GF56">
        <v>889068369</v>
      </c>
      <c r="GG56">
        <v>2</v>
      </c>
      <c r="GH56">
        <v>3</v>
      </c>
      <c r="GI56">
        <v>-2</v>
      </c>
      <c r="GJ56">
        <v>0</v>
      </c>
      <c r="GK56">
        <v>0</v>
      </c>
      <c r="GL56">
        <f t="shared" si="46"/>
        <v>0</v>
      </c>
      <c r="GM56">
        <f t="shared" si="47"/>
        <v>750</v>
      </c>
      <c r="GN56">
        <f t="shared" si="48"/>
        <v>750</v>
      </c>
      <c r="GO56">
        <f t="shared" si="49"/>
        <v>0</v>
      </c>
      <c r="GP56">
        <f t="shared" si="50"/>
        <v>0</v>
      </c>
      <c r="GR56">
        <v>1</v>
      </c>
      <c r="GS56">
        <v>1</v>
      </c>
      <c r="GT56">
        <v>0</v>
      </c>
      <c r="GU56" t="s">
        <v>3</v>
      </c>
      <c r="GV56">
        <f t="shared" si="51"/>
        <v>0</v>
      </c>
      <c r="GW56">
        <v>1</v>
      </c>
      <c r="GX56">
        <f t="shared" si="52"/>
        <v>0</v>
      </c>
      <c r="HA56">
        <v>0</v>
      </c>
      <c r="HB56">
        <v>0</v>
      </c>
      <c r="HC56">
        <f t="shared" si="53"/>
        <v>0</v>
      </c>
      <c r="HE56" t="s">
        <v>145</v>
      </c>
      <c r="HF56" t="s">
        <v>145</v>
      </c>
      <c r="HM56" t="s">
        <v>3</v>
      </c>
      <c r="HN56" t="s">
        <v>3</v>
      </c>
      <c r="HO56" t="s">
        <v>3</v>
      </c>
      <c r="HP56" t="s">
        <v>3</v>
      </c>
      <c r="HQ56" t="s">
        <v>3</v>
      </c>
      <c r="IK56">
        <v>0</v>
      </c>
    </row>
    <row r="57" spans="1:245" x14ac:dyDescent="0.2">
      <c r="A57">
        <v>17</v>
      </c>
      <c r="B57">
        <v>1</v>
      </c>
      <c r="E57" t="s">
        <v>177</v>
      </c>
      <c r="F57" t="s">
        <v>138</v>
      </c>
      <c r="G57" t="s">
        <v>178</v>
      </c>
      <c r="H57" t="s">
        <v>149</v>
      </c>
      <c r="I57">
        <v>25</v>
      </c>
      <c r="J57">
        <v>0</v>
      </c>
      <c r="K57">
        <v>25</v>
      </c>
      <c r="O57">
        <f t="shared" si="14"/>
        <v>2583.25</v>
      </c>
      <c r="P57">
        <f t="shared" si="15"/>
        <v>2583.25</v>
      </c>
      <c r="Q57">
        <f t="shared" si="16"/>
        <v>0</v>
      </c>
      <c r="R57">
        <f t="shared" si="17"/>
        <v>0</v>
      </c>
      <c r="S57">
        <f t="shared" si="18"/>
        <v>0</v>
      </c>
      <c r="T57">
        <f t="shared" si="19"/>
        <v>0</v>
      </c>
      <c r="U57">
        <f t="shared" si="20"/>
        <v>0</v>
      </c>
      <c r="V57">
        <f t="shared" si="21"/>
        <v>0</v>
      </c>
      <c r="W57">
        <f t="shared" si="22"/>
        <v>0</v>
      </c>
      <c r="X57">
        <f t="shared" si="23"/>
        <v>0</v>
      </c>
      <c r="Y57">
        <f t="shared" si="24"/>
        <v>0</v>
      </c>
      <c r="AA57">
        <v>92408302</v>
      </c>
      <c r="AB57">
        <f t="shared" si="25"/>
        <v>103.33</v>
      </c>
      <c r="AC57">
        <f t="shared" si="26"/>
        <v>103.33</v>
      </c>
      <c r="AD57">
        <f t="shared" si="27"/>
        <v>0</v>
      </c>
      <c r="AE57">
        <f t="shared" si="28"/>
        <v>0</v>
      </c>
      <c r="AF57">
        <f t="shared" si="29"/>
        <v>0</v>
      </c>
      <c r="AG57">
        <f t="shared" si="30"/>
        <v>0</v>
      </c>
      <c r="AH57">
        <f t="shared" si="31"/>
        <v>0</v>
      </c>
      <c r="AI57">
        <f t="shared" si="32"/>
        <v>0</v>
      </c>
      <c r="AJ57">
        <f t="shared" si="33"/>
        <v>0</v>
      </c>
      <c r="AK57">
        <v>103.33</v>
      </c>
      <c r="AL57">
        <v>103.33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1</v>
      </c>
      <c r="AW57">
        <v>1</v>
      </c>
      <c r="AZ57">
        <v>1</v>
      </c>
      <c r="BA57">
        <v>1</v>
      </c>
      <c r="BB57">
        <v>1</v>
      </c>
      <c r="BC57">
        <v>1</v>
      </c>
      <c r="BD57" t="s">
        <v>3</v>
      </c>
      <c r="BE57" t="s">
        <v>3</v>
      </c>
      <c r="BF57" t="s">
        <v>3</v>
      </c>
      <c r="BG57" t="s">
        <v>3</v>
      </c>
      <c r="BH57">
        <v>3</v>
      </c>
      <c r="BI57">
        <v>1</v>
      </c>
      <c r="BJ57" t="s">
        <v>3</v>
      </c>
      <c r="BM57">
        <v>1100</v>
      </c>
      <c r="BN57">
        <v>0</v>
      </c>
      <c r="BO57" t="s">
        <v>3</v>
      </c>
      <c r="BP57">
        <v>0</v>
      </c>
      <c r="BQ57">
        <v>8</v>
      </c>
      <c r="BR57">
        <v>0</v>
      </c>
      <c r="BS57">
        <v>1</v>
      </c>
      <c r="BT57">
        <v>1</v>
      </c>
      <c r="BU57">
        <v>1</v>
      </c>
      <c r="BV57">
        <v>1</v>
      </c>
      <c r="BW57">
        <v>1</v>
      </c>
      <c r="BX57">
        <v>1</v>
      </c>
      <c r="BY57" t="s">
        <v>3</v>
      </c>
      <c r="BZ57">
        <v>0</v>
      </c>
      <c r="CA57">
        <v>0</v>
      </c>
      <c r="CB57" t="s">
        <v>3</v>
      </c>
      <c r="CE57">
        <v>0</v>
      </c>
      <c r="CF57">
        <v>0</v>
      </c>
      <c r="CG57">
        <v>0</v>
      </c>
      <c r="CM57">
        <v>0</v>
      </c>
      <c r="CN57" t="s">
        <v>3</v>
      </c>
      <c r="CO57">
        <v>0</v>
      </c>
      <c r="CP57">
        <f t="shared" si="34"/>
        <v>2583.25</v>
      </c>
      <c r="CQ57">
        <f t="shared" si="35"/>
        <v>103.33</v>
      </c>
      <c r="CR57">
        <f t="shared" si="36"/>
        <v>0</v>
      </c>
      <c r="CS57">
        <f t="shared" si="37"/>
        <v>0</v>
      </c>
      <c r="CT57">
        <f t="shared" si="38"/>
        <v>0</v>
      </c>
      <c r="CU57">
        <f t="shared" si="39"/>
        <v>0</v>
      </c>
      <c r="CV57">
        <f t="shared" si="40"/>
        <v>0</v>
      </c>
      <c r="CW57">
        <f t="shared" si="41"/>
        <v>0</v>
      </c>
      <c r="CX57">
        <f t="shared" si="42"/>
        <v>0</v>
      </c>
      <c r="CY57">
        <f t="shared" si="43"/>
        <v>0</v>
      </c>
      <c r="CZ57">
        <f t="shared" si="44"/>
        <v>0</v>
      </c>
      <c r="DC57" t="s">
        <v>3</v>
      </c>
      <c r="DD57" t="s">
        <v>3</v>
      </c>
      <c r="DE57" t="s">
        <v>3</v>
      </c>
      <c r="DF57" t="s">
        <v>3</v>
      </c>
      <c r="DG57" t="s">
        <v>3</v>
      </c>
      <c r="DH57" t="s">
        <v>3</v>
      </c>
      <c r="DI57" t="s">
        <v>3</v>
      </c>
      <c r="DJ57" t="s">
        <v>3</v>
      </c>
      <c r="DK57" t="s">
        <v>3</v>
      </c>
      <c r="DL57" t="s">
        <v>3</v>
      </c>
      <c r="DM57" t="s">
        <v>3</v>
      </c>
      <c r="DN57">
        <v>0</v>
      </c>
      <c r="DO57">
        <v>0</v>
      </c>
      <c r="DP57">
        <v>1</v>
      </c>
      <c r="DQ57">
        <v>1</v>
      </c>
      <c r="DU57">
        <v>1013</v>
      </c>
      <c r="DV57" t="s">
        <v>149</v>
      </c>
      <c r="DW57" t="s">
        <v>149</v>
      </c>
      <c r="DX57">
        <v>1</v>
      </c>
      <c r="DZ57" t="s">
        <v>3</v>
      </c>
      <c r="EA57" t="s">
        <v>3</v>
      </c>
      <c r="EB57" t="s">
        <v>3</v>
      </c>
      <c r="EC57" t="s">
        <v>3</v>
      </c>
      <c r="EE57">
        <v>92107766</v>
      </c>
      <c r="EF57">
        <v>8</v>
      </c>
      <c r="EG57" t="s">
        <v>141</v>
      </c>
      <c r="EH57">
        <v>0</v>
      </c>
      <c r="EI57" t="s">
        <v>3</v>
      </c>
      <c r="EJ57">
        <v>1</v>
      </c>
      <c r="EK57">
        <v>1100</v>
      </c>
      <c r="EL57" t="s">
        <v>142</v>
      </c>
      <c r="EM57" t="s">
        <v>143</v>
      </c>
      <c r="EO57" t="s">
        <v>3</v>
      </c>
      <c r="EQ57">
        <v>0</v>
      </c>
      <c r="ER57">
        <v>103.33</v>
      </c>
      <c r="ES57">
        <v>103.33</v>
      </c>
      <c r="ET57">
        <v>0</v>
      </c>
      <c r="EU57">
        <v>0</v>
      </c>
      <c r="EV57">
        <v>0</v>
      </c>
      <c r="EW57">
        <v>0</v>
      </c>
      <c r="EX57">
        <v>0</v>
      </c>
      <c r="EY57">
        <v>0</v>
      </c>
      <c r="EZ57">
        <v>5</v>
      </c>
      <c r="FC57">
        <v>1</v>
      </c>
      <c r="FD57">
        <v>18</v>
      </c>
      <c r="FF57">
        <v>124</v>
      </c>
      <c r="FQ57">
        <v>0</v>
      </c>
      <c r="FR57">
        <f t="shared" si="45"/>
        <v>0</v>
      </c>
      <c r="FS57">
        <v>0</v>
      </c>
      <c r="FX57">
        <v>0</v>
      </c>
      <c r="FY57">
        <v>0</v>
      </c>
      <c r="GA57" t="s">
        <v>179</v>
      </c>
      <c r="GD57">
        <v>1</v>
      </c>
      <c r="GF57">
        <v>1558152507</v>
      </c>
      <c r="GG57">
        <v>2</v>
      </c>
      <c r="GH57">
        <v>3</v>
      </c>
      <c r="GI57">
        <v>-2</v>
      </c>
      <c r="GJ57">
        <v>0</v>
      </c>
      <c r="GK57">
        <v>0</v>
      </c>
      <c r="GL57">
        <f t="shared" si="46"/>
        <v>0</v>
      </c>
      <c r="GM57">
        <f t="shared" si="47"/>
        <v>2583.25</v>
      </c>
      <c r="GN57">
        <f t="shared" si="48"/>
        <v>2583.25</v>
      </c>
      <c r="GO57">
        <f t="shared" si="49"/>
        <v>0</v>
      </c>
      <c r="GP57">
        <f t="shared" si="50"/>
        <v>0</v>
      </c>
      <c r="GR57">
        <v>1</v>
      </c>
      <c r="GS57">
        <v>1</v>
      </c>
      <c r="GT57">
        <v>0</v>
      </c>
      <c r="GU57" t="s">
        <v>3</v>
      </c>
      <c r="GV57">
        <f t="shared" si="51"/>
        <v>0</v>
      </c>
      <c r="GW57">
        <v>1</v>
      </c>
      <c r="GX57">
        <f t="shared" si="52"/>
        <v>0</v>
      </c>
      <c r="HA57">
        <v>0</v>
      </c>
      <c r="HB57">
        <v>0</v>
      </c>
      <c r="HC57">
        <f t="shared" si="53"/>
        <v>0</v>
      </c>
      <c r="HE57" t="s">
        <v>145</v>
      </c>
      <c r="HF57" t="s">
        <v>145</v>
      </c>
      <c r="HM57" t="s">
        <v>3</v>
      </c>
      <c r="HN57" t="s">
        <v>3</v>
      </c>
      <c r="HO57" t="s">
        <v>3</v>
      </c>
      <c r="HP57" t="s">
        <v>3</v>
      </c>
      <c r="HQ57" t="s">
        <v>3</v>
      </c>
      <c r="IK57">
        <v>0</v>
      </c>
    </row>
    <row r="58" spans="1:245" x14ac:dyDescent="0.2">
      <c r="A58">
        <v>17</v>
      </c>
      <c r="B58">
        <v>1</v>
      </c>
      <c r="E58" t="s">
        <v>180</v>
      </c>
      <c r="F58" t="s">
        <v>138</v>
      </c>
      <c r="G58" t="s">
        <v>181</v>
      </c>
      <c r="H58" t="s">
        <v>149</v>
      </c>
      <c r="I58">
        <v>125</v>
      </c>
      <c r="J58">
        <v>0</v>
      </c>
      <c r="K58">
        <v>125</v>
      </c>
      <c r="O58">
        <f t="shared" si="14"/>
        <v>521.25</v>
      </c>
      <c r="P58">
        <f t="shared" si="15"/>
        <v>521.25</v>
      </c>
      <c r="Q58">
        <f t="shared" si="16"/>
        <v>0</v>
      </c>
      <c r="R58">
        <f t="shared" si="17"/>
        <v>0</v>
      </c>
      <c r="S58">
        <f t="shared" si="18"/>
        <v>0</v>
      </c>
      <c r="T58">
        <f t="shared" si="19"/>
        <v>0</v>
      </c>
      <c r="U58">
        <f t="shared" si="20"/>
        <v>0</v>
      </c>
      <c r="V58">
        <f t="shared" si="21"/>
        <v>0</v>
      </c>
      <c r="W58">
        <f t="shared" si="22"/>
        <v>0</v>
      </c>
      <c r="X58">
        <f t="shared" si="23"/>
        <v>0</v>
      </c>
      <c r="Y58">
        <f t="shared" si="24"/>
        <v>0</v>
      </c>
      <c r="AA58">
        <v>92408302</v>
      </c>
      <c r="AB58">
        <f t="shared" si="25"/>
        <v>4.17</v>
      </c>
      <c r="AC58">
        <f t="shared" si="26"/>
        <v>4.17</v>
      </c>
      <c r="AD58">
        <f t="shared" si="27"/>
        <v>0</v>
      </c>
      <c r="AE58">
        <f t="shared" si="28"/>
        <v>0</v>
      </c>
      <c r="AF58">
        <f t="shared" si="29"/>
        <v>0</v>
      </c>
      <c r="AG58">
        <f t="shared" si="30"/>
        <v>0</v>
      </c>
      <c r="AH58">
        <f t="shared" si="31"/>
        <v>0</v>
      </c>
      <c r="AI58">
        <f t="shared" si="32"/>
        <v>0</v>
      </c>
      <c r="AJ58">
        <f t="shared" si="33"/>
        <v>0</v>
      </c>
      <c r="AK58">
        <v>4.17</v>
      </c>
      <c r="AL58">
        <v>4.17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1</v>
      </c>
      <c r="AW58">
        <v>1</v>
      </c>
      <c r="AZ58">
        <v>1</v>
      </c>
      <c r="BA58">
        <v>1</v>
      </c>
      <c r="BB58">
        <v>1</v>
      </c>
      <c r="BC58">
        <v>1</v>
      </c>
      <c r="BD58" t="s">
        <v>3</v>
      </c>
      <c r="BE58" t="s">
        <v>3</v>
      </c>
      <c r="BF58" t="s">
        <v>3</v>
      </c>
      <c r="BG58" t="s">
        <v>3</v>
      </c>
      <c r="BH58">
        <v>3</v>
      </c>
      <c r="BI58">
        <v>1</v>
      </c>
      <c r="BJ58" t="s">
        <v>3</v>
      </c>
      <c r="BM58">
        <v>1100</v>
      </c>
      <c r="BN58">
        <v>0</v>
      </c>
      <c r="BO58" t="s">
        <v>3</v>
      </c>
      <c r="BP58">
        <v>0</v>
      </c>
      <c r="BQ58">
        <v>8</v>
      </c>
      <c r="BR58">
        <v>0</v>
      </c>
      <c r="BS58">
        <v>1</v>
      </c>
      <c r="BT58">
        <v>1</v>
      </c>
      <c r="BU58">
        <v>1</v>
      </c>
      <c r="BV58">
        <v>1</v>
      </c>
      <c r="BW58">
        <v>1</v>
      </c>
      <c r="BX58">
        <v>1</v>
      </c>
      <c r="BY58" t="s">
        <v>3</v>
      </c>
      <c r="BZ58">
        <v>0</v>
      </c>
      <c r="CA58">
        <v>0</v>
      </c>
      <c r="CB58" t="s">
        <v>3</v>
      </c>
      <c r="CE58">
        <v>0</v>
      </c>
      <c r="CF58">
        <v>0</v>
      </c>
      <c r="CG58">
        <v>0</v>
      </c>
      <c r="CM58">
        <v>0</v>
      </c>
      <c r="CN58" t="s">
        <v>3</v>
      </c>
      <c r="CO58">
        <v>0</v>
      </c>
      <c r="CP58">
        <f t="shared" si="34"/>
        <v>521.25</v>
      </c>
      <c r="CQ58">
        <f t="shared" si="35"/>
        <v>4.17</v>
      </c>
      <c r="CR58">
        <f t="shared" si="36"/>
        <v>0</v>
      </c>
      <c r="CS58">
        <f t="shared" si="37"/>
        <v>0</v>
      </c>
      <c r="CT58">
        <f t="shared" si="38"/>
        <v>0</v>
      </c>
      <c r="CU58">
        <f t="shared" si="39"/>
        <v>0</v>
      </c>
      <c r="CV58">
        <f t="shared" si="40"/>
        <v>0</v>
      </c>
      <c r="CW58">
        <f t="shared" si="41"/>
        <v>0</v>
      </c>
      <c r="CX58">
        <f t="shared" si="42"/>
        <v>0</v>
      </c>
      <c r="CY58">
        <f t="shared" si="43"/>
        <v>0</v>
      </c>
      <c r="CZ58">
        <f t="shared" si="44"/>
        <v>0</v>
      </c>
      <c r="DC58" t="s">
        <v>3</v>
      </c>
      <c r="DD58" t="s">
        <v>3</v>
      </c>
      <c r="DE58" t="s">
        <v>3</v>
      </c>
      <c r="DF58" t="s">
        <v>3</v>
      </c>
      <c r="DG58" t="s">
        <v>3</v>
      </c>
      <c r="DH58" t="s">
        <v>3</v>
      </c>
      <c r="DI58" t="s">
        <v>3</v>
      </c>
      <c r="DJ58" t="s">
        <v>3</v>
      </c>
      <c r="DK58" t="s">
        <v>3</v>
      </c>
      <c r="DL58" t="s">
        <v>3</v>
      </c>
      <c r="DM58" t="s">
        <v>3</v>
      </c>
      <c r="DN58">
        <v>0</v>
      </c>
      <c r="DO58">
        <v>0</v>
      </c>
      <c r="DP58">
        <v>1</v>
      </c>
      <c r="DQ58">
        <v>1</v>
      </c>
      <c r="DU58">
        <v>1013</v>
      </c>
      <c r="DV58" t="s">
        <v>149</v>
      </c>
      <c r="DW58" t="s">
        <v>149</v>
      </c>
      <c r="DX58">
        <v>1</v>
      </c>
      <c r="DZ58" t="s">
        <v>3</v>
      </c>
      <c r="EA58" t="s">
        <v>3</v>
      </c>
      <c r="EB58" t="s">
        <v>3</v>
      </c>
      <c r="EC58" t="s">
        <v>3</v>
      </c>
      <c r="EE58">
        <v>92107766</v>
      </c>
      <c r="EF58">
        <v>8</v>
      </c>
      <c r="EG58" t="s">
        <v>141</v>
      </c>
      <c r="EH58">
        <v>0</v>
      </c>
      <c r="EI58" t="s">
        <v>3</v>
      </c>
      <c r="EJ58">
        <v>1</v>
      </c>
      <c r="EK58">
        <v>1100</v>
      </c>
      <c r="EL58" t="s">
        <v>142</v>
      </c>
      <c r="EM58" t="s">
        <v>143</v>
      </c>
      <c r="EO58" t="s">
        <v>3</v>
      </c>
      <c r="EQ58">
        <v>0</v>
      </c>
      <c r="ER58">
        <v>4.17</v>
      </c>
      <c r="ES58">
        <v>4.17</v>
      </c>
      <c r="ET58">
        <v>0</v>
      </c>
      <c r="EU58">
        <v>0</v>
      </c>
      <c r="EV58">
        <v>0</v>
      </c>
      <c r="EW58">
        <v>0</v>
      </c>
      <c r="EX58">
        <v>0</v>
      </c>
      <c r="EY58">
        <v>0</v>
      </c>
      <c r="EZ58">
        <v>5</v>
      </c>
      <c r="FC58">
        <v>1</v>
      </c>
      <c r="FD58">
        <v>18</v>
      </c>
      <c r="FF58">
        <v>5</v>
      </c>
      <c r="FQ58">
        <v>0</v>
      </c>
      <c r="FR58">
        <f t="shared" si="45"/>
        <v>0</v>
      </c>
      <c r="FS58">
        <v>0</v>
      </c>
      <c r="FX58">
        <v>0</v>
      </c>
      <c r="FY58">
        <v>0</v>
      </c>
      <c r="GA58" t="s">
        <v>182</v>
      </c>
      <c r="GD58">
        <v>1</v>
      </c>
      <c r="GF58">
        <v>176601695</v>
      </c>
      <c r="GG58">
        <v>2</v>
      </c>
      <c r="GH58">
        <v>3</v>
      </c>
      <c r="GI58">
        <v>-2</v>
      </c>
      <c r="GJ58">
        <v>0</v>
      </c>
      <c r="GK58">
        <v>0</v>
      </c>
      <c r="GL58">
        <f t="shared" si="46"/>
        <v>0</v>
      </c>
      <c r="GM58">
        <f t="shared" si="47"/>
        <v>521.25</v>
      </c>
      <c r="GN58">
        <f t="shared" si="48"/>
        <v>521.25</v>
      </c>
      <c r="GO58">
        <f t="shared" si="49"/>
        <v>0</v>
      </c>
      <c r="GP58">
        <f t="shared" si="50"/>
        <v>0</v>
      </c>
      <c r="GR58">
        <v>1</v>
      </c>
      <c r="GS58">
        <v>1</v>
      </c>
      <c r="GT58">
        <v>0</v>
      </c>
      <c r="GU58" t="s">
        <v>3</v>
      </c>
      <c r="GV58">
        <f t="shared" si="51"/>
        <v>0</v>
      </c>
      <c r="GW58">
        <v>1</v>
      </c>
      <c r="GX58">
        <f t="shared" si="52"/>
        <v>0</v>
      </c>
      <c r="HA58">
        <v>0</v>
      </c>
      <c r="HB58">
        <v>0</v>
      </c>
      <c r="HC58">
        <f t="shared" si="53"/>
        <v>0</v>
      </c>
      <c r="HE58" t="s">
        <v>145</v>
      </c>
      <c r="HF58" t="s">
        <v>145</v>
      </c>
      <c r="HM58" t="s">
        <v>3</v>
      </c>
      <c r="HN58" t="s">
        <v>3</v>
      </c>
      <c r="HO58" t="s">
        <v>3</v>
      </c>
      <c r="HP58" t="s">
        <v>3</v>
      </c>
      <c r="HQ58" t="s">
        <v>3</v>
      </c>
      <c r="IK58">
        <v>0</v>
      </c>
    </row>
    <row r="59" spans="1:245" x14ac:dyDescent="0.2">
      <c r="A59">
        <v>17</v>
      </c>
      <c r="B59">
        <v>1</v>
      </c>
      <c r="E59" t="s">
        <v>183</v>
      </c>
      <c r="F59" t="s">
        <v>138</v>
      </c>
      <c r="G59" t="s">
        <v>184</v>
      </c>
      <c r="H59" t="s">
        <v>149</v>
      </c>
      <c r="I59">
        <v>100</v>
      </c>
      <c r="J59">
        <v>0</v>
      </c>
      <c r="K59">
        <v>100</v>
      </c>
      <c r="O59">
        <f t="shared" si="14"/>
        <v>750</v>
      </c>
      <c r="P59">
        <f t="shared" si="15"/>
        <v>750</v>
      </c>
      <c r="Q59">
        <f t="shared" si="16"/>
        <v>0</v>
      </c>
      <c r="R59">
        <f t="shared" si="17"/>
        <v>0</v>
      </c>
      <c r="S59">
        <f t="shared" si="18"/>
        <v>0</v>
      </c>
      <c r="T59">
        <f t="shared" si="19"/>
        <v>0</v>
      </c>
      <c r="U59">
        <f t="shared" si="20"/>
        <v>0</v>
      </c>
      <c r="V59">
        <f t="shared" si="21"/>
        <v>0</v>
      </c>
      <c r="W59">
        <f t="shared" si="22"/>
        <v>0</v>
      </c>
      <c r="X59">
        <f t="shared" si="23"/>
        <v>0</v>
      </c>
      <c r="Y59">
        <f t="shared" si="24"/>
        <v>0</v>
      </c>
      <c r="AA59">
        <v>92408302</v>
      </c>
      <c r="AB59">
        <f t="shared" si="25"/>
        <v>7.5</v>
      </c>
      <c r="AC59">
        <f t="shared" si="26"/>
        <v>7.5</v>
      </c>
      <c r="AD59">
        <f t="shared" si="27"/>
        <v>0</v>
      </c>
      <c r="AE59">
        <f t="shared" si="28"/>
        <v>0</v>
      </c>
      <c r="AF59">
        <f t="shared" si="29"/>
        <v>0</v>
      </c>
      <c r="AG59">
        <f t="shared" si="30"/>
        <v>0</v>
      </c>
      <c r="AH59">
        <f t="shared" si="31"/>
        <v>0</v>
      </c>
      <c r="AI59">
        <f t="shared" si="32"/>
        <v>0</v>
      </c>
      <c r="AJ59">
        <f t="shared" si="33"/>
        <v>0</v>
      </c>
      <c r="AK59">
        <v>7.5</v>
      </c>
      <c r="AL59">
        <v>7.5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1</v>
      </c>
      <c r="AW59">
        <v>1</v>
      </c>
      <c r="AZ59">
        <v>1</v>
      </c>
      <c r="BA59">
        <v>1</v>
      </c>
      <c r="BB59">
        <v>1</v>
      </c>
      <c r="BC59">
        <v>1</v>
      </c>
      <c r="BD59" t="s">
        <v>3</v>
      </c>
      <c r="BE59" t="s">
        <v>3</v>
      </c>
      <c r="BF59" t="s">
        <v>3</v>
      </c>
      <c r="BG59" t="s">
        <v>3</v>
      </c>
      <c r="BH59">
        <v>3</v>
      </c>
      <c r="BI59">
        <v>1</v>
      </c>
      <c r="BJ59" t="s">
        <v>3</v>
      </c>
      <c r="BM59">
        <v>1100</v>
      </c>
      <c r="BN59">
        <v>0</v>
      </c>
      <c r="BO59" t="s">
        <v>3</v>
      </c>
      <c r="BP59">
        <v>0</v>
      </c>
      <c r="BQ59">
        <v>8</v>
      </c>
      <c r="BR59">
        <v>0</v>
      </c>
      <c r="BS59">
        <v>1</v>
      </c>
      <c r="BT59">
        <v>1</v>
      </c>
      <c r="BU59">
        <v>1</v>
      </c>
      <c r="BV59">
        <v>1</v>
      </c>
      <c r="BW59">
        <v>1</v>
      </c>
      <c r="BX59">
        <v>1</v>
      </c>
      <c r="BY59" t="s">
        <v>3</v>
      </c>
      <c r="BZ59">
        <v>0</v>
      </c>
      <c r="CA59">
        <v>0</v>
      </c>
      <c r="CB59" t="s">
        <v>3</v>
      </c>
      <c r="CE59">
        <v>0</v>
      </c>
      <c r="CF59">
        <v>0</v>
      </c>
      <c r="CG59">
        <v>0</v>
      </c>
      <c r="CM59">
        <v>0</v>
      </c>
      <c r="CN59" t="s">
        <v>3</v>
      </c>
      <c r="CO59">
        <v>0</v>
      </c>
      <c r="CP59">
        <f t="shared" si="34"/>
        <v>750</v>
      </c>
      <c r="CQ59">
        <f t="shared" si="35"/>
        <v>7.5</v>
      </c>
      <c r="CR59">
        <f t="shared" si="36"/>
        <v>0</v>
      </c>
      <c r="CS59">
        <f t="shared" si="37"/>
        <v>0</v>
      </c>
      <c r="CT59">
        <f t="shared" si="38"/>
        <v>0</v>
      </c>
      <c r="CU59">
        <f t="shared" si="39"/>
        <v>0</v>
      </c>
      <c r="CV59">
        <f t="shared" si="40"/>
        <v>0</v>
      </c>
      <c r="CW59">
        <f t="shared" si="41"/>
        <v>0</v>
      </c>
      <c r="CX59">
        <f t="shared" si="42"/>
        <v>0</v>
      </c>
      <c r="CY59">
        <f t="shared" si="43"/>
        <v>0</v>
      </c>
      <c r="CZ59">
        <f t="shared" si="44"/>
        <v>0</v>
      </c>
      <c r="DC59" t="s">
        <v>3</v>
      </c>
      <c r="DD59" t="s">
        <v>3</v>
      </c>
      <c r="DE59" t="s">
        <v>3</v>
      </c>
      <c r="DF59" t="s">
        <v>3</v>
      </c>
      <c r="DG59" t="s">
        <v>3</v>
      </c>
      <c r="DH59" t="s">
        <v>3</v>
      </c>
      <c r="DI59" t="s">
        <v>3</v>
      </c>
      <c r="DJ59" t="s">
        <v>3</v>
      </c>
      <c r="DK59" t="s">
        <v>3</v>
      </c>
      <c r="DL59" t="s">
        <v>3</v>
      </c>
      <c r="DM59" t="s">
        <v>3</v>
      </c>
      <c r="DN59">
        <v>0</v>
      </c>
      <c r="DO59">
        <v>0</v>
      </c>
      <c r="DP59">
        <v>1</v>
      </c>
      <c r="DQ59">
        <v>1</v>
      </c>
      <c r="DU59">
        <v>1013</v>
      </c>
      <c r="DV59" t="s">
        <v>149</v>
      </c>
      <c r="DW59" t="s">
        <v>149</v>
      </c>
      <c r="DX59">
        <v>1</v>
      </c>
      <c r="DZ59" t="s">
        <v>3</v>
      </c>
      <c r="EA59" t="s">
        <v>3</v>
      </c>
      <c r="EB59" t="s">
        <v>3</v>
      </c>
      <c r="EC59" t="s">
        <v>3</v>
      </c>
      <c r="EE59">
        <v>92107766</v>
      </c>
      <c r="EF59">
        <v>8</v>
      </c>
      <c r="EG59" t="s">
        <v>141</v>
      </c>
      <c r="EH59">
        <v>0</v>
      </c>
      <c r="EI59" t="s">
        <v>3</v>
      </c>
      <c r="EJ59">
        <v>1</v>
      </c>
      <c r="EK59">
        <v>1100</v>
      </c>
      <c r="EL59" t="s">
        <v>142</v>
      </c>
      <c r="EM59" t="s">
        <v>143</v>
      </c>
      <c r="EO59" t="s">
        <v>3</v>
      </c>
      <c r="EQ59">
        <v>0</v>
      </c>
      <c r="ER59">
        <v>7.5</v>
      </c>
      <c r="ES59">
        <v>7.5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5</v>
      </c>
      <c r="FC59">
        <v>1</v>
      </c>
      <c r="FD59">
        <v>18</v>
      </c>
      <c r="FF59">
        <v>9</v>
      </c>
      <c r="FQ59">
        <v>0</v>
      </c>
      <c r="FR59">
        <f t="shared" si="45"/>
        <v>0</v>
      </c>
      <c r="FS59">
        <v>0</v>
      </c>
      <c r="FX59">
        <v>0</v>
      </c>
      <c r="FY59">
        <v>0</v>
      </c>
      <c r="GA59" t="s">
        <v>185</v>
      </c>
      <c r="GD59">
        <v>1</v>
      </c>
      <c r="GF59">
        <v>862832889</v>
      </c>
      <c r="GG59">
        <v>2</v>
      </c>
      <c r="GH59">
        <v>3</v>
      </c>
      <c r="GI59">
        <v>-2</v>
      </c>
      <c r="GJ59">
        <v>0</v>
      </c>
      <c r="GK59">
        <v>0</v>
      </c>
      <c r="GL59">
        <f t="shared" si="46"/>
        <v>0</v>
      </c>
      <c r="GM59">
        <f t="shared" si="47"/>
        <v>750</v>
      </c>
      <c r="GN59">
        <f t="shared" si="48"/>
        <v>750</v>
      </c>
      <c r="GO59">
        <f t="shared" si="49"/>
        <v>0</v>
      </c>
      <c r="GP59">
        <f t="shared" si="50"/>
        <v>0</v>
      </c>
      <c r="GR59">
        <v>1</v>
      </c>
      <c r="GS59">
        <v>1</v>
      </c>
      <c r="GT59">
        <v>0</v>
      </c>
      <c r="GU59" t="s">
        <v>3</v>
      </c>
      <c r="GV59">
        <f t="shared" si="51"/>
        <v>0</v>
      </c>
      <c r="GW59">
        <v>1</v>
      </c>
      <c r="GX59">
        <f t="shared" si="52"/>
        <v>0</v>
      </c>
      <c r="HA59">
        <v>0</v>
      </c>
      <c r="HB59">
        <v>0</v>
      </c>
      <c r="HC59">
        <f t="shared" si="53"/>
        <v>0</v>
      </c>
      <c r="HE59" t="s">
        <v>145</v>
      </c>
      <c r="HF59" t="s">
        <v>145</v>
      </c>
      <c r="HM59" t="s">
        <v>3</v>
      </c>
      <c r="HN59" t="s">
        <v>3</v>
      </c>
      <c r="HO59" t="s">
        <v>3</v>
      </c>
      <c r="HP59" t="s">
        <v>3</v>
      </c>
      <c r="HQ59" t="s">
        <v>3</v>
      </c>
      <c r="IK59">
        <v>0</v>
      </c>
    </row>
    <row r="61" spans="1:245" x14ac:dyDescent="0.2">
      <c r="A61" s="2">
        <v>51</v>
      </c>
      <c r="B61" s="2">
        <f>B20</f>
        <v>1</v>
      </c>
      <c r="C61" s="2">
        <f>A20</f>
        <v>3</v>
      </c>
      <c r="D61" s="2">
        <f>ROW(A20)</f>
        <v>20</v>
      </c>
      <c r="E61" s="2"/>
      <c r="F61" s="2" t="str">
        <f>IF(F20&lt;&gt;"",F20,"")</f>
        <v/>
      </c>
      <c r="G61" s="2" t="str">
        <f>IF(G20&lt;&gt;"",G20,"")</f>
        <v>Новая локальная смета</v>
      </c>
      <c r="H61" s="2">
        <v>0</v>
      </c>
      <c r="I61" s="2"/>
      <c r="J61" s="2"/>
      <c r="K61" s="2"/>
      <c r="L61" s="2"/>
      <c r="M61" s="2"/>
      <c r="N61" s="2"/>
      <c r="O61" s="2">
        <f t="shared" ref="O61:T61" si="54">ROUND(AB61,2)</f>
        <v>627893.87</v>
      </c>
      <c r="P61" s="2">
        <f t="shared" si="54"/>
        <v>578048.03</v>
      </c>
      <c r="Q61" s="2">
        <f t="shared" si="54"/>
        <v>8341.85</v>
      </c>
      <c r="R61" s="2">
        <f t="shared" si="54"/>
        <v>841.23</v>
      </c>
      <c r="S61" s="2">
        <f t="shared" si="54"/>
        <v>41503.99</v>
      </c>
      <c r="T61" s="2">
        <f t="shared" si="54"/>
        <v>0</v>
      </c>
      <c r="U61" s="2">
        <f>AH61</f>
        <v>143.12730480000002</v>
      </c>
      <c r="V61" s="2">
        <f>AI61</f>
        <v>2.3238483999999997</v>
      </c>
      <c r="W61" s="2">
        <f>ROUND(AJ61,2)</f>
        <v>0</v>
      </c>
      <c r="X61" s="2">
        <f>ROUND(AK61,2)</f>
        <v>39788.71</v>
      </c>
      <c r="Y61" s="2">
        <f>ROUND(AL61,2)</f>
        <v>20481.5</v>
      </c>
      <c r="Z61" s="2"/>
      <c r="AA61" s="2"/>
      <c r="AB61" s="2">
        <f>ROUND(SUMIF(AA24:AA59,"=92408302",O24:O59),2)</f>
        <v>627893.87</v>
      </c>
      <c r="AC61" s="2">
        <f>ROUND(SUMIF(AA24:AA59,"=92408302",P24:P59),2)</f>
        <v>578048.03</v>
      </c>
      <c r="AD61" s="2">
        <f>ROUND(SUMIF(AA24:AA59,"=92408302",Q24:Q59),2)</f>
        <v>8341.85</v>
      </c>
      <c r="AE61" s="2">
        <f>ROUND(SUMIF(AA24:AA59,"=92408302",R24:R59),2)</f>
        <v>841.23</v>
      </c>
      <c r="AF61" s="2">
        <f>ROUND(SUMIF(AA24:AA59,"=92408302",S24:S59),2)</f>
        <v>41503.99</v>
      </c>
      <c r="AG61" s="2">
        <f>ROUND(SUMIF(AA24:AA59,"=92408302",T24:T59),2)</f>
        <v>0</v>
      </c>
      <c r="AH61" s="2">
        <f>SUMIF(AA24:AA59,"=92408302",U24:U59)</f>
        <v>143.12730480000002</v>
      </c>
      <c r="AI61" s="2">
        <f>SUMIF(AA24:AA59,"=92408302",V24:V59)</f>
        <v>2.3238483999999997</v>
      </c>
      <c r="AJ61" s="2">
        <f>ROUND(SUMIF(AA24:AA59,"=92408302",W24:W59),2)</f>
        <v>0</v>
      </c>
      <c r="AK61" s="2">
        <f>ROUND(SUMIF(AA24:AA59,"=92408302",X24:X59),2)</f>
        <v>39788.71</v>
      </c>
      <c r="AL61" s="2">
        <f>ROUND(SUMIF(AA24:AA59,"=92408302",Y24:Y59),2)</f>
        <v>20481.5</v>
      </c>
      <c r="AM61" s="2"/>
      <c r="AN61" s="2"/>
      <c r="AO61" s="2">
        <f t="shared" ref="AO61:BD61" si="55">ROUND(BX61,2)</f>
        <v>0</v>
      </c>
      <c r="AP61" s="2">
        <f t="shared" si="55"/>
        <v>0</v>
      </c>
      <c r="AQ61" s="2">
        <f t="shared" si="55"/>
        <v>0</v>
      </c>
      <c r="AR61" s="2">
        <f t="shared" si="55"/>
        <v>688164.08</v>
      </c>
      <c r="AS61" s="2">
        <f t="shared" si="55"/>
        <v>597955.9</v>
      </c>
      <c r="AT61" s="2">
        <f t="shared" si="55"/>
        <v>82973.789999999994</v>
      </c>
      <c r="AU61" s="2">
        <f t="shared" si="55"/>
        <v>7234.39</v>
      </c>
      <c r="AV61" s="2">
        <f t="shared" si="55"/>
        <v>578048.03</v>
      </c>
      <c r="AW61" s="2">
        <f t="shared" si="55"/>
        <v>578048.03</v>
      </c>
      <c r="AX61" s="2">
        <f t="shared" si="55"/>
        <v>0</v>
      </c>
      <c r="AY61" s="2">
        <f t="shared" si="55"/>
        <v>578048.03</v>
      </c>
      <c r="AZ61" s="2">
        <f t="shared" si="55"/>
        <v>0</v>
      </c>
      <c r="BA61" s="2">
        <f t="shared" si="55"/>
        <v>0</v>
      </c>
      <c r="BB61" s="2">
        <f t="shared" si="55"/>
        <v>0</v>
      </c>
      <c r="BC61" s="2">
        <f t="shared" si="55"/>
        <v>0</v>
      </c>
      <c r="BD61" s="2">
        <f t="shared" si="55"/>
        <v>0</v>
      </c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>
        <f>ROUND(SUMIF(AA24:AA59,"=92408302",FQ24:FQ59),2)</f>
        <v>0</v>
      </c>
      <c r="BY61" s="2">
        <f>ROUND(SUMIF(AA24:AA59,"=92408302",FR24:FR59),2)</f>
        <v>0</v>
      </c>
      <c r="BZ61" s="2">
        <f>ROUND(SUMIF(AA24:AA59,"=92408302",GL24:GL59),2)</f>
        <v>0</v>
      </c>
      <c r="CA61" s="2">
        <f>ROUND(SUMIF(AA24:AA59,"=92408302",GM24:GM59),2)</f>
        <v>688164.08</v>
      </c>
      <c r="CB61" s="2">
        <f>ROUND(SUMIF(AA24:AA59,"=92408302",GN24:GN59),2)</f>
        <v>597955.9</v>
      </c>
      <c r="CC61" s="2">
        <f>ROUND(SUMIF(AA24:AA59,"=92408302",GO24:GO59),2)</f>
        <v>82973.789999999994</v>
      </c>
      <c r="CD61" s="2">
        <f>ROUND(SUMIF(AA24:AA59,"=92408302",GP24:GP59),2)</f>
        <v>7234.39</v>
      </c>
      <c r="CE61" s="2">
        <f>AC61-BX61</f>
        <v>578048.03</v>
      </c>
      <c r="CF61" s="2">
        <f>AC61-BY61</f>
        <v>578048.03</v>
      </c>
      <c r="CG61" s="2">
        <f>BX61-BZ61</f>
        <v>0</v>
      </c>
      <c r="CH61" s="2">
        <f>AC61-BX61-BY61+BZ61</f>
        <v>578048.03</v>
      </c>
      <c r="CI61" s="2">
        <f>BY61-BZ61</f>
        <v>0</v>
      </c>
      <c r="CJ61" s="2">
        <f>ROUND(SUMIF(AA24:AA59,"=92408302",GX24:GX59),2)</f>
        <v>0</v>
      </c>
      <c r="CK61" s="2">
        <f>ROUND(SUMIF(AA24:AA59,"=92408302",GY24:GY59),2)</f>
        <v>0</v>
      </c>
      <c r="CL61" s="2">
        <f>ROUND(SUMIF(AA24:AA59,"=92408302",GZ24:GZ59),2)</f>
        <v>0</v>
      </c>
      <c r="CM61" s="2">
        <f>ROUND(SUMIF(AA24:AA59,"=92408302",HD24:HD59),2)</f>
        <v>0</v>
      </c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>
        <v>0</v>
      </c>
    </row>
    <row r="63" spans="1:245" x14ac:dyDescent="0.2">
      <c r="A63" s="4">
        <v>50</v>
      </c>
      <c r="B63" s="4">
        <v>0</v>
      </c>
      <c r="C63" s="4">
        <v>0</v>
      </c>
      <c r="D63" s="4">
        <v>1</v>
      </c>
      <c r="E63" s="4">
        <v>201</v>
      </c>
      <c r="F63" s="4">
        <f>ROUND(Source!O61,O63)</f>
        <v>627893.87</v>
      </c>
      <c r="G63" s="4" t="s">
        <v>186</v>
      </c>
      <c r="H63" s="4" t="s">
        <v>187</v>
      </c>
      <c r="I63" s="4"/>
      <c r="J63" s="4"/>
      <c r="K63" s="4">
        <v>201</v>
      </c>
      <c r="L63" s="4">
        <v>1</v>
      </c>
      <c r="M63" s="4">
        <v>3</v>
      </c>
      <c r="N63" s="4" t="s">
        <v>3</v>
      </c>
      <c r="O63" s="4">
        <v>2</v>
      </c>
      <c r="P63" s="4"/>
      <c r="Q63" s="4"/>
      <c r="R63" s="4"/>
      <c r="S63" s="4"/>
      <c r="T63" s="4"/>
      <c r="U63" s="4"/>
      <c r="V63" s="4"/>
      <c r="W63" s="4">
        <v>627893.87</v>
      </c>
      <c r="X63" s="4">
        <v>1</v>
      </c>
      <c r="Y63" s="4">
        <v>627893.87</v>
      </c>
      <c r="Z63" s="4"/>
      <c r="AA63" s="4"/>
      <c r="AB63" s="4"/>
    </row>
    <row r="64" spans="1:245" x14ac:dyDescent="0.2">
      <c r="A64" s="4">
        <v>50</v>
      </c>
      <c r="B64" s="4">
        <v>0</v>
      </c>
      <c r="C64" s="4">
        <v>0</v>
      </c>
      <c r="D64" s="4">
        <v>1</v>
      </c>
      <c r="E64" s="4">
        <v>202</v>
      </c>
      <c r="F64" s="4">
        <f>ROUND(Source!P61,O64)</f>
        <v>578048.03</v>
      </c>
      <c r="G64" s="4" t="s">
        <v>188</v>
      </c>
      <c r="H64" s="4" t="s">
        <v>189</v>
      </c>
      <c r="I64" s="4"/>
      <c r="J64" s="4"/>
      <c r="K64" s="4">
        <v>202</v>
      </c>
      <c r="L64" s="4">
        <v>2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>
        <v>578048.03</v>
      </c>
      <c r="X64" s="4">
        <v>1</v>
      </c>
      <c r="Y64" s="4">
        <v>578048.03</v>
      </c>
      <c r="Z64" s="4"/>
      <c r="AA64" s="4"/>
      <c r="AB64" s="4"/>
    </row>
    <row r="65" spans="1:28" x14ac:dyDescent="0.2">
      <c r="A65" s="4">
        <v>50</v>
      </c>
      <c r="B65" s="4">
        <v>0</v>
      </c>
      <c r="C65" s="4">
        <v>0</v>
      </c>
      <c r="D65" s="4">
        <v>1</v>
      </c>
      <c r="E65" s="4">
        <v>222</v>
      </c>
      <c r="F65" s="4">
        <f>ROUND(Source!AO61,O65)</f>
        <v>0</v>
      </c>
      <c r="G65" s="4" t="s">
        <v>190</v>
      </c>
      <c r="H65" s="4" t="s">
        <v>191</v>
      </c>
      <c r="I65" s="4"/>
      <c r="J65" s="4"/>
      <c r="K65" s="4">
        <v>222</v>
      </c>
      <c r="L65" s="4">
        <v>3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>
        <v>0</v>
      </c>
      <c r="X65" s="4">
        <v>1</v>
      </c>
      <c r="Y65" s="4">
        <v>0</v>
      </c>
      <c r="Z65" s="4"/>
      <c r="AA65" s="4"/>
      <c r="AB65" s="4"/>
    </row>
    <row r="66" spans="1:28" x14ac:dyDescent="0.2">
      <c r="A66" s="4">
        <v>50</v>
      </c>
      <c r="B66" s="4">
        <v>0</v>
      </c>
      <c r="C66" s="4">
        <v>0</v>
      </c>
      <c r="D66" s="4">
        <v>1</v>
      </c>
      <c r="E66" s="4">
        <v>225</v>
      </c>
      <c r="F66" s="4">
        <f>ROUND(Source!AV61,O66)</f>
        <v>578048.03</v>
      </c>
      <c r="G66" s="4" t="s">
        <v>192</v>
      </c>
      <c r="H66" s="4" t="s">
        <v>193</v>
      </c>
      <c r="I66" s="4"/>
      <c r="J66" s="4"/>
      <c r="K66" s="4">
        <v>225</v>
      </c>
      <c r="L66" s="4">
        <v>4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>
        <v>578048.03</v>
      </c>
      <c r="X66" s="4">
        <v>1</v>
      </c>
      <c r="Y66" s="4">
        <v>578048.03</v>
      </c>
      <c r="Z66" s="4"/>
      <c r="AA66" s="4"/>
      <c r="AB66" s="4"/>
    </row>
    <row r="67" spans="1:28" x14ac:dyDescent="0.2">
      <c r="A67" s="4">
        <v>50</v>
      </c>
      <c r="B67" s="4">
        <v>0</v>
      </c>
      <c r="C67" s="4">
        <v>0</v>
      </c>
      <c r="D67" s="4">
        <v>1</v>
      </c>
      <c r="E67" s="4">
        <v>226</v>
      </c>
      <c r="F67" s="4">
        <f>ROUND(Source!AW61,O67)</f>
        <v>578048.03</v>
      </c>
      <c r="G67" s="4" t="s">
        <v>194</v>
      </c>
      <c r="H67" s="4" t="s">
        <v>195</v>
      </c>
      <c r="I67" s="4"/>
      <c r="J67" s="4"/>
      <c r="K67" s="4">
        <v>226</v>
      </c>
      <c r="L67" s="4">
        <v>5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>
        <v>578048.03</v>
      </c>
      <c r="X67" s="4">
        <v>1</v>
      </c>
      <c r="Y67" s="4">
        <v>578048.03</v>
      </c>
      <c r="Z67" s="4"/>
      <c r="AA67" s="4"/>
      <c r="AB67" s="4"/>
    </row>
    <row r="68" spans="1:28" x14ac:dyDescent="0.2">
      <c r="A68" s="4">
        <v>50</v>
      </c>
      <c r="B68" s="4">
        <v>0</v>
      </c>
      <c r="C68" s="4">
        <v>0</v>
      </c>
      <c r="D68" s="4">
        <v>1</v>
      </c>
      <c r="E68" s="4">
        <v>227</v>
      </c>
      <c r="F68" s="4">
        <f>ROUND(Source!AX61,O68)</f>
        <v>0</v>
      </c>
      <c r="G68" s="4" t="s">
        <v>196</v>
      </c>
      <c r="H68" s="4" t="s">
        <v>197</v>
      </c>
      <c r="I68" s="4"/>
      <c r="J68" s="4"/>
      <c r="K68" s="4">
        <v>227</v>
      </c>
      <c r="L68" s="4">
        <v>6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>
        <v>0</v>
      </c>
      <c r="X68" s="4">
        <v>1</v>
      </c>
      <c r="Y68" s="4">
        <v>0</v>
      </c>
      <c r="Z68" s="4"/>
      <c r="AA68" s="4"/>
      <c r="AB68" s="4"/>
    </row>
    <row r="69" spans="1:28" x14ac:dyDescent="0.2">
      <c r="A69" s="4">
        <v>50</v>
      </c>
      <c r="B69" s="4">
        <v>0</v>
      </c>
      <c r="C69" s="4">
        <v>0</v>
      </c>
      <c r="D69" s="4">
        <v>1</v>
      </c>
      <c r="E69" s="4">
        <v>228</v>
      </c>
      <c r="F69" s="4">
        <f>ROUND(Source!AY61,O69)</f>
        <v>578048.03</v>
      </c>
      <c r="G69" s="4" t="s">
        <v>198</v>
      </c>
      <c r="H69" s="4" t="s">
        <v>199</v>
      </c>
      <c r="I69" s="4"/>
      <c r="J69" s="4"/>
      <c r="K69" s="4">
        <v>228</v>
      </c>
      <c r="L69" s="4">
        <v>7</v>
      </c>
      <c r="M69" s="4">
        <v>3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>
        <v>578048.03</v>
      </c>
      <c r="X69" s="4">
        <v>1</v>
      </c>
      <c r="Y69" s="4">
        <v>578048.03</v>
      </c>
      <c r="Z69" s="4"/>
      <c r="AA69" s="4"/>
      <c r="AB69" s="4"/>
    </row>
    <row r="70" spans="1:28" x14ac:dyDescent="0.2">
      <c r="A70" s="4">
        <v>50</v>
      </c>
      <c r="B70" s="4">
        <v>0</v>
      </c>
      <c r="C70" s="4">
        <v>0</v>
      </c>
      <c r="D70" s="4">
        <v>1</v>
      </c>
      <c r="E70" s="4">
        <v>216</v>
      </c>
      <c r="F70" s="4">
        <f>ROUND(Source!AP61,O70)</f>
        <v>0</v>
      </c>
      <c r="G70" s="4" t="s">
        <v>200</v>
      </c>
      <c r="H70" s="4" t="s">
        <v>201</v>
      </c>
      <c r="I70" s="4"/>
      <c r="J70" s="4"/>
      <c r="K70" s="4">
        <v>216</v>
      </c>
      <c r="L70" s="4">
        <v>8</v>
      </c>
      <c r="M70" s="4">
        <v>3</v>
      </c>
      <c r="N70" s="4" t="s">
        <v>3</v>
      </c>
      <c r="O70" s="4">
        <v>2</v>
      </c>
      <c r="P70" s="4"/>
      <c r="Q70" s="4"/>
      <c r="R70" s="4"/>
      <c r="S70" s="4"/>
      <c r="T70" s="4"/>
      <c r="U70" s="4"/>
      <c r="V70" s="4"/>
      <c r="W70" s="4">
        <v>0</v>
      </c>
      <c r="X70" s="4">
        <v>1</v>
      </c>
      <c r="Y70" s="4">
        <v>0</v>
      </c>
      <c r="Z70" s="4"/>
      <c r="AA70" s="4"/>
      <c r="AB70" s="4"/>
    </row>
    <row r="71" spans="1:28" x14ac:dyDescent="0.2">
      <c r="A71" s="4">
        <v>50</v>
      </c>
      <c r="B71" s="4">
        <v>0</v>
      </c>
      <c r="C71" s="4">
        <v>0</v>
      </c>
      <c r="D71" s="4">
        <v>1</v>
      </c>
      <c r="E71" s="4">
        <v>223</v>
      </c>
      <c r="F71" s="4">
        <f>ROUND(Source!AQ61,O71)</f>
        <v>0</v>
      </c>
      <c r="G71" s="4" t="s">
        <v>202</v>
      </c>
      <c r="H71" s="4" t="s">
        <v>203</v>
      </c>
      <c r="I71" s="4"/>
      <c r="J71" s="4"/>
      <c r="K71" s="4">
        <v>223</v>
      </c>
      <c r="L71" s="4">
        <v>9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>
        <v>0</v>
      </c>
      <c r="X71" s="4">
        <v>1</v>
      </c>
      <c r="Y71" s="4">
        <v>0</v>
      </c>
      <c r="Z71" s="4"/>
      <c r="AA71" s="4"/>
      <c r="AB71" s="4"/>
    </row>
    <row r="72" spans="1:28" x14ac:dyDescent="0.2">
      <c r="A72" s="4">
        <v>50</v>
      </c>
      <c r="B72" s="4">
        <v>0</v>
      </c>
      <c r="C72" s="4">
        <v>0</v>
      </c>
      <c r="D72" s="4">
        <v>1</v>
      </c>
      <c r="E72" s="4">
        <v>229</v>
      </c>
      <c r="F72" s="4">
        <f>ROUND(Source!AZ61,O72)</f>
        <v>0</v>
      </c>
      <c r="G72" s="4" t="s">
        <v>204</v>
      </c>
      <c r="H72" s="4" t="s">
        <v>205</v>
      </c>
      <c r="I72" s="4"/>
      <c r="J72" s="4"/>
      <c r="K72" s="4">
        <v>229</v>
      </c>
      <c r="L72" s="4">
        <v>10</v>
      </c>
      <c r="M72" s="4">
        <v>3</v>
      </c>
      <c r="N72" s="4" t="s">
        <v>3</v>
      </c>
      <c r="O72" s="4">
        <v>2</v>
      </c>
      <c r="P72" s="4"/>
      <c r="Q72" s="4"/>
      <c r="R72" s="4"/>
      <c r="S72" s="4"/>
      <c r="T72" s="4"/>
      <c r="U72" s="4"/>
      <c r="V72" s="4"/>
      <c r="W72" s="4">
        <v>0</v>
      </c>
      <c r="X72" s="4">
        <v>1</v>
      </c>
      <c r="Y72" s="4">
        <v>0</v>
      </c>
      <c r="Z72" s="4"/>
      <c r="AA72" s="4"/>
      <c r="AB72" s="4"/>
    </row>
    <row r="73" spans="1:28" x14ac:dyDescent="0.2">
      <c r="A73" s="4">
        <v>50</v>
      </c>
      <c r="B73" s="4">
        <v>0</v>
      </c>
      <c r="C73" s="4">
        <v>0</v>
      </c>
      <c r="D73" s="4">
        <v>1</v>
      </c>
      <c r="E73" s="4">
        <v>203</v>
      </c>
      <c r="F73" s="4">
        <f>ROUND(Source!Q61,O73)</f>
        <v>8341.85</v>
      </c>
      <c r="G73" s="4" t="s">
        <v>206</v>
      </c>
      <c r="H73" s="4" t="s">
        <v>207</v>
      </c>
      <c r="I73" s="4"/>
      <c r="J73" s="4"/>
      <c r="K73" s="4">
        <v>203</v>
      </c>
      <c r="L73" s="4">
        <v>11</v>
      </c>
      <c r="M73" s="4">
        <v>3</v>
      </c>
      <c r="N73" s="4" t="s">
        <v>3</v>
      </c>
      <c r="O73" s="4">
        <v>2</v>
      </c>
      <c r="P73" s="4"/>
      <c r="Q73" s="4"/>
      <c r="R73" s="4"/>
      <c r="S73" s="4"/>
      <c r="T73" s="4"/>
      <c r="U73" s="4"/>
      <c r="V73" s="4"/>
      <c r="W73" s="4">
        <v>8341.85</v>
      </c>
      <c r="X73" s="4">
        <v>1</v>
      </c>
      <c r="Y73" s="4">
        <v>8341.85</v>
      </c>
      <c r="Z73" s="4"/>
      <c r="AA73" s="4"/>
      <c r="AB73" s="4"/>
    </row>
    <row r="74" spans="1:28" x14ac:dyDescent="0.2">
      <c r="A74" s="4">
        <v>50</v>
      </c>
      <c r="B74" s="4">
        <v>0</v>
      </c>
      <c r="C74" s="4">
        <v>0</v>
      </c>
      <c r="D74" s="4">
        <v>1</v>
      </c>
      <c r="E74" s="4">
        <v>231</v>
      </c>
      <c r="F74" s="4">
        <f>ROUND(Source!BB61,O74)</f>
        <v>0</v>
      </c>
      <c r="G74" s="4" t="s">
        <v>208</v>
      </c>
      <c r="H74" s="4" t="s">
        <v>209</v>
      </c>
      <c r="I74" s="4"/>
      <c r="J74" s="4"/>
      <c r="K74" s="4">
        <v>231</v>
      </c>
      <c r="L74" s="4">
        <v>12</v>
      </c>
      <c r="M74" s="4">
        <v>3</v>
      </c>
      <c r="N74" s="4" t="s">
        <v>3</v>
      </c>
      <c r="O74" s="4">
        <v>2</v>
      </c>
      <c r="P74" s="4"/>
      <c r="Q74" s="4"/>
      <c r="R74" s="4"/>
      <c r="S74" s="4"/>
      <c r="T74" s="4"/>
      <c r="U74" s="4"/>
      <c r="V74" s="4"/>
      <c r="W74" s="4">
        <v>0</v>
      </c>
      <c r="X74" s="4">
        <v>1</v>
      </c>
      <c r="Y74" s="4">
        <v>0</v>
      </c>
      <c r="Z74" s="4"/>
      <c r="AA74" s="4"/>
      <c r="AB74" s="4"/>
    </row>
    <row r="75" spans="1:28" x14ac:dyDescent="0.2">
      <c r="A75" s="4">
        <v>50</v>
      </c>
      <c r="B75" s="4">
        <v>0</v>
      </c>
      <c r="C75" s="4">
        <v>0</v>
      </c>
      <c r="D75" s="4">
        <v>1</v>
      </c>
      <c r="E75" s="4">
        <v>204</v>
      </c>
      <c r="F75" s="4">
        <f>ROUND(Source!R61,O75)</f>
        <v>841.23</v>
      </c>
      <c r="G75" s="4" t="s">
        <v>210</v>
      </c>
      <c r="H75" s="4" t="s">
        <v>211</v>
      </c>
      <c r="I75" s="4"/>
      <c r="J75" s="4"/>
      <c r="K75" s="4">
        <v>204</v>
      </c>
      <c r="L75" s="4">
        <v>13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>
        <v>841.23</v>
      </c>
      <c r="X75" s="4">
        <v>1</v>
      </c>
      <c r="Y75" s="4">
        <v>841.23</v>
      </c>
      <c r="Z75" s="4"/>
      <c r="AA75" s="4"/>
      <c r="AB75" s="4"/>
    </row>
    <row r="76" spans="1:28" x14ac:dyDescent="0.2">
      <c r="A76" s="4">
        <v>50</v>
      </c>
      <c r="B76" s="4">
        <v>0</v>
      </c>
      <c r="C76" s="4">
        <v>0</v>
      </c>
      <c r="D76" s="4">
        <v>1</v>
      </c>
      <c r="E76" s="4">
        <v>205</v>
      </c>
      <c r="F76" s="4">
        <f>ROUND(Source!S61,O76)</f>
        <v>41503.99</v>
      </c>
      <c r="G76" s="4" t="s">
        <v>212</v>
      </c>
      <c r="H76" s="4" t="s">
        <v>213</v>
      </c>
      <c r="I76" s="4"/>
      <c r="J76" s="4"/>
      <c r="K76" s="4">
        <v>205</v>
      </c>
      <c r="L76" s="4">
        <v>14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>
        <v>41503.99</v>
      </c>
      <c r="X76" s="4">
        <v>1</v>
      </c>
      <c r="Y76" s="4">
        <v>41503.99</v>
      </c>
      <c r="Z76" s="4"/>
      <c r="AA76" s="4"/>
      <c r="AB76" s="4"/>
    </row>
    <row r="77" spans="1:28" x14ac:dyDescent="0.2">
      <c r="A77" s="4">
        <v>50</v>
      </c>
      <c r="B77" s="4">
        <v>0</v>
      </c>
      <c r="C77" s="4">
        <v>0</v>
      </c>
      <c r="D77" s="4">
        <v>1</v>
      </c>
      <c r="E77" s="4">
        <v>232</v>
      </c>
      <c r="F77" s="4">
        <f>ROUND(Source!BC61,O77)</f>
        <v>0</v>
      </c>
      <c r="G77" s="4" t="s">
        <v>214</v>
      </c>
      <c r="H77" s="4" t="s">
        <v>215</v>
      </c>
      <c r="I77" s="4"/>
      <c r="J77" s="4"/>
      <c r="K77" s="4">
        <v>232</v>
      </c>
      <c r="L77" s="4">
        <v>15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>
        <v>0</v>
      </c>
      <c r="X77" s="4">
        <v>1</v>
      </c>
      <c r="Y77" s="4">
        <v>0</v>
      </c>
      <c r="Z77" s="4"/>
      <c r="AA77" s="4"/>
      <c r="AB77" s="4"/>
    </row>
    <row r="78" spans="1:28" x14ac:dyDescent="0.2">
      <c r="A78" s="4">
        <v>50</v>
      </c>
      <c r="B78" s="4">
        <v>0</v>
      </c>
      <c r="C78" s="4">
        <v>0</v>
      </c>
      <c r="D78" s="4">
        <v>1</v>
      </c>
      <c r="E78" s="4">
        <v>214</v>
      </c>
      <c r="F78" s="4">
        <f>ROUND(Source!AS61,O78)</f>
        <v>597955.9</v>
      </c>
      <c r="G78" s="4" t="s">
        <v>216</v>
      </c>
      <c r="H78" s="4" t="s">
        <v>217</v>
      </c>
      <c r="I78" s="4"/>
      <c r="J78" s="4"/>
      <c r="K78" s="4">
        <v>214</v>
      </c>
      <c r="L78" s="4">
        <v>16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>
        <v>597955.9</v>
      </c>
      <c r="X78" s="4">
        <v>1</v>
      </c>
      <c r="Y78" s="4">
        <v>597955.9</v>
      </c>
      <c r="Z78" s="4"/>
      <c r="AA78" s="4"/>
      <c r="AB78" s="4"/>
    </row>
    <row r="79" spans="1:28" x14ac:dyDescent="0.2">
      <c r="A79" s="4">
        <v>50</v>
      </c>
      <c r="B79" s="4">
        <v>0</v>
      </c>
      <c r="C79" s="4">
        <v>0</v>
      </c>
      <c r="D79" s="4">
        <v>1</v>
      </c>
      <c r="E79" s="4">
        <v>215</v>
      </c>
      <c r="F79" s="4">
        <f>ROUND(Source!AT61,O79)</f>
        <v>82973.789999999994</v>
      </c>
      <c r="G79" s="4" t="s">
        <v>218</v>
      </c>
      <c r="H79" s="4" t="s">
        <v>219</v>
      </c>
      <c r="I79" s="4"/>
      <c r="J79" s="4"/>
      <c r="K79" s="4">
        <v>215</v>
      </c>
      <c r="L79" s="4">
        <v>17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>
        <v>82973.789999999994</v>
      </c>
      <c r="X79" s="4">
        <v>1</v>
      </c>
      <c r="Y79" s="4">
        <v>82973.789999999994</v>
      </c>
      <c r="Z79" s="4"/>
      <c r="AA79" s="4"/>
      <c r="AB79" s="4"/>
    </row>
    <row r="80" spans="1:28" x14ac:dyDescent="0.2">
      <c r="A80" s="4">
        <v>50</v>
      </c>
      <c r="B80" s="4">
        <v>0</v>
      </c>
      <c r="C80" s="4">
        <v>0</v>
      </c>
      <c r="D80" s="4">
        <v>1</v>
      </c>
      <c r="E80" s="4">
        <v>217</v>
      </c>
      <c r="F80" s="4">
        <f>ROUND(Source!AU61,O80)</f>
        <v>7234.39</v>
      </c>
      <c r="G80" s="4" t="s">
        <v>220</v>
      </c>
      <c r="H80" s="4" t="s">
        <v>221</v>
      </c>
      <c r="I80" s="4"/>
      <c r="J80" s="4"/>
      <c r="K80" s="4">
        <v>217</v>
      </c>
      <c r="L80" s="4">
        <v>18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>
        <v>7234.39</v>
      </c>
      <c r="X80" s="4">
        <v>1</v>
      </c>
      <c r="Y80" s="4">
        <v>7234.39</v>
      </c>
      <c r="Z80" s="4"/>
      <c r="AA80" s="4"/>
      <c r="AB80" s="4"/>
    </row>
    <row r="81" spans="1:28" x14ac:dyDescent="0.2">
      <c r="A81" s="4">
        <v>50</v>
      </c>
      <c r="B81" s="4">
        <v>0</v>
      </c>
      <c r="C81" s="4">
        <v>0</v>
      </c>
      <c r="D81" s="4">
        <v>1</v>
      </c>
      <c r="E81" s="4">
        <v>230</v>
      </c>
      <c r="F81" s="4">
        <f>ROUND(Source!BA61,O81)</f>
        <v>0</v>
      </c>
      <c r="G81" s="4" t="s">
        <v>222</v>
      </c>
      <c r="H81" s="4" t="s">
        <v>223</v>
      </c>
      <c r="I81" s="4"/>
      <c r="J81" s="4"/>
      <c r="K81" s="4">
        <v>230</v>
      </c>
      <c r="L81" s="4">
        <v>19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>
        <v>0</v>
      </c>
      <c r="X81" s="4">
        <v>1</v>
      </c>
      <c r="Y81" s="4">
        <v>0</v>
      </c>
      <c r="Z81" s="4"/>
      <c r="AA81" s="4"/>
      <c r="AB81" s="4"/>
    </row>
    <row r="82" spans="1:28" x14ac:dyDescent="0.2">
      <c r="A82" s="4">
        <v>50</v>
      </c>
      <c r="B82" s="4">
        <v>0</v>
      </c>
      <c r="C82" s="4">
        <v>0</v>
      </c>
      <c r="D82" s="4">
        <v>1</v>
      </c>
      <c r="E82" s="4">
        <v>206</v>
      </c>
      <c r="F82" s="4">
        <f>ROUND(Source!T61,O82)</f>
        <v>0</v>
      </c>
      <c r="G82" s="4" t="s">
        <v>224</v>
      </c>
      <c r="H82" s="4" t="s">
        <v>225</v>
      </c>
      <c r="I82" s="4"/>
      <c r="J82" s="4"/>
      <c r="K82" s="4">
        <v>206</v>
      </c>
      <c r="L82" s="4">
        <v>20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>
        <v>0</v>
      </c>
      <c r="X82" s="4">
        <v>1</v>
      </c>
      <c r="Y82" s="4">
        <v>0</v>
      </c>
      <c r="Z82" s="4"/>
      <c r="AA82" s="4"/>
      <c r="AB82" s="4"/>
    </row>
    <row r="83" spans="1:28" x14ac:dyDescent="0.2">
      <c r="A83" s="4">
        <v>50</v>
      </c>
      <c r="B83" s="4">
        <v>0</v>
      </c>
      <c r="C83" s="4">
        <v>0</v>
      </c>
      <c r="D83" s="4">
        <v>1</v>
      </c>
      <c r="E83" s="4">
        <v>207</v>
      </c>
      <c r="F83" s="4">
        <f>Source!U61</f>
        <v>143.12730480000002</v>
      </c>
      <c r="G83" s="4" t="s">
        <v>226</v>
      </c>
      <c r="H83" s="4" t="s">
        <v>227</v>
      </c>
      <c r="I83" s="4"/>
      <c r="J83" s="4"/>
      <c r="K83" s="4">
        <v>207</v>
      </c>
      <c r="L83" s="4">
        <v>21</v>
      </c>
      <c r="M83" s="4">
        <v>3</v>
      </c>
      <c r="N83" s="4" t="s">
        <v>3</v>
      </c>
      <c r="O83" s="4">
        <v>-1</v>
      </c>
      <c r="P83" s="4"/>
      <c r="Q83" s="4"/>
      <c r="R83" s="4"/>
      <c r="S83" s="4"/>
      <c r="T83" s="4"/>
      <c r="U83" s="4"/>
      <c r="V83" s="4"/>
      <c r="W83" s="4">
        <v>143.12730480000002</v>
      </c>
      <c r="X83" s="4">
        <v>1</v>
      </c>
      <c r="Y83" s="4">
        <v>143.12730480000002</v>
      </c>
      <c r="Z83" s="4"/>
      <c r="AA83" s="4"/>
      <c r="AB83" s="4"/>
    </row>
    <row r="84" spans="1:28" x14ac:dyDescent="0.2">
      <c r="A84" s="4">
        <v>50</v>
      </c>
      <c r="B84" s="4">
        <v>0</v>
      </c>
      <c r="C84" s="4">
        <v>0</v>
      </c>
      <c r="D84" s="4">
        <v>1</v>
      </c>
      <c r="E84" s="4">
        <v>208</v>
      </c>
      <c r="F84" s="4">
        <f>Source!V61</f>
        <v>2.3238483999999997</v>
      </c>
      <c r="G84" s="4" t="s">
        <v>228</v>
      </c>
      <c r="H84" s="4" t="s">
        <v>229</v>
      </c>
      <c r="I84" s="4"/>
      <c r="J84" s="4"/>
      <c r="K84" s="4">
        <v>208</v>
      </c>
      <c r="L84" s="4">
        <v>22</v>
      </c>
      <c r="M84" s="4">
        <v>3</v>
      </c>
      <c r="N84" s="4" t="s">
        <v>3</v>
      </c>
      <c r="O84" s="4">
        <v>-1</v>
      </c>
      <c r="P84" s="4"/>
      <c r="Q84" s="4"/>
      <c r="R84" s="4"/>
      <c r="S84" s="4"/>
      <c r="T84" s="4"/>
      <c r="U84" s="4"/>
      <c r="V84" s="4"/>
      <c r="W84" s="4">
        <v>2.3238484000000001</v>
      </c>
      <c r="X84" s="4">
        <v>1</v>
      </c>
      <c r="Y84" s="4">
        <v>2.3238484000000001</v>
      </c>
      <c r="Z84" s="4"/>
      <c r="AA84" s="4"/>
      <c r="AB84" s="4"/>
    </row>
    <row r="85" spans="1:28" x14ac:dyDescent="0.2">
      <c r="A85" s="4">
        <v>50</v>
      </c>
      <c r="B85" s="4">
        <v>0</v>
      </c>
      <c r="C85" s="4">
        <v>0</v>
      </c>
      <c r="D85" s="4">
        <v>1</v>
      </c>
      <c r="E85" s="4">
        <v>209</v>
      </c>
      <c r="F85" s="4">
        <f>ROUND(Source!W61,O85)</f>
        <v>0</v>
      </c>
      <c r="G85" s="4" t="s">
        <v>230</v>
      </c>
      <c r="H85" s="4" t="s">
        <v>231</v>
      </c>
      <c r="I85" s="4"/>
      <c r="J85" s="4"/>
      <c r="K85" s="4">
        <v>209</v>
      </c>
      <c r="L85" s="4">
        <v>23</v>
      </c>
      <c r="M85" s="4">
        <v>3</v>
      </c>
      <c r="N85" s="4" t="s">
        <v>3</v>
      </c>
      <c r="O85" s="4">
        <v>2</v>
      </c>
      <c r="P85" s="4"/>
      <c r="Q85" s="4"/>
      <c r="R85" s="4"/>
      <c r="S85" s="4"/>
      <c r="T85" s="4"/>
      <c r="U85" s="4"/>
      <c r="V85" s="4"/>
      <c r="W85" s="4">
        <v>0</v>
      </c>
      <c r="X85" s="4">
        <v>1</v>
      </c>
      <c r="Y85" s="4">
        <v>0</v>
      </c>
      <c r="Z85" s="4"/>
      <c r="AA85" s="4"/>
      <c r="AB85" s="4"/>
    </row>
    <row r="86" spans="1:28" x14ac:dyDescent="0.2">
      <c r="A86" s="4">
        <v>50</v>
      </c>
      <c r="B86" s="4">
        <v>0</v>
      </c>
      <c r="C86" s="4">
        <v>0</v>
      </c>
      <c r="D86" s="4">
        <v>1</v>
      </c>
      <c r="E86" s="4">
        <v>233</v>
      </c>
      <c r="F86" s="4">
        <f>ROUND(Source!BD61,O86)</f>
        <v>0</v>
      </c>
      <c r="G86" s="4" t="s">
        <v>232</v>
      </c>
      <c r="H86" s="4" t="s">
        <v>233</v>
      </c>
      <c r="I86" s="4"/>
      <c r="J86" s="4"/>
      <c r="K86" s="4">
        <v>233</v>
      </c>
      <c r="L86" s="4">
        <v>24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>
        <v>0</v>
      </c>
      <c r="X86" s="4">
        <v>1</v>
      </c>
      <c r="Y86" s="4">
        <v>0</v>
      </c>
      <c r="Z86" s="4"/>
      <c r="AA86" s="4"/>
      <c r="AB86" s="4"/>
    </row>
    <row r="87" spans="1:28" x14ac:dyDescent="0.2">
      <c r="A87" s="4">
        <v>50</v>
      </c>
      <c r="B87" s="4">
        <v>0</v>
      </c>
      <c r="C87" s="4">
        <v>0</v>
      </c>
      <c r="D87" s="4">
        <v>1</v>
      </c>
      <c r="E87" s="4">
        <v>210</v>
      </c>
      <c r="F87" s="4">
        <f>ROUND(Source!X61,O87)</f>
        <v>39788.71</v>
      </c>
      <c r="G87" s="4" t="s">
        <v>234</v>
      </c>
      <c r="H87" s="4" t="s">
        <v>235</v>
      </c>
      <c r="I87" s="4"/>
      <c r="J87" s="4"/>
      <c r="K87" s="4">
        <v>210</v>
      </c>
      <c r="L87" s="4">
        <v>25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>
        <v>39788.71</v>
      </c>
      <c r="X87" s="4">
        <v>1</v>
      </c>
      <c r="Y87" s="4">
        <v>39788.71</v>
      </c>
      <c r="Z87" s="4"/>
      <c r="AA87" s="4"/>
      <c r="AB87" s="4"/>
    </row>
    <row r="88" spans="1:28" x14ac:dyDescent="0.2">
      <c r="A88" s="4">
        <v>50</v>
      </c>
      <c r="B88" s="4">
        <v>0</v>
      </c>
      <c r="C88" s="4">
        <v>0</v>
      </c>
      <c r="D88" s="4">
        <v>1</v>
      </c>
      <c r="E88" s="4">
        <v>211</v>
      </c>
      <c r="F88" s="4">
        <f>ROUND(Source!Y61,O88)</f>
        <v>20481.5</v>
      </c>
      <c r="G88" s="4" t="s">
        <v>236</v>
      </c>
      <c r="H88" s="4" t="s">
        <v>237</v>
      </c>
      <c r="I88" s="4"/>
      <c r="J88" s="4"/>
      <c r="K88" s="4">
        <v>211</v>
      </c>
      <c r="L88" s="4">
        <v>26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>
        <v>20481.5</v>
      </c>
      <c r="X88" s="4">
        <v>1</v>
      </c>
      <c r="Y88" s="4">
        <v>20481.5</v>
      </c>
      <c r="Z88" s="4"/>
      <c r="AA88" s="4"/>
      <c r="AB88" s="4"/>
    </row>
    <row r="89" spans="1:28" x14ac:dyDescent="0.2">
      <c r="A89" s="4">
        <v>50</v>
      </c>
      <c r="B89" s="4">
        <v>0</v>
      </c>
      <c r="C89" s="4">
        <v>0</v>
      </c>
      <c r="D89" s="4">
        <v>1</v>
      </c>
      <c r="E89" s="4">
        <v>224</v>
      </c>
      <c r="F89" s="4">
        <f>ROUND(Source!AR61,O89)</f>
        <v>688164.08</v>
      </c>
      <c r="G89" s="4" t="s">
        <v>238</v>
      </c>
      <c r="H89" s="4" t="s">
        <v>239</v>
      </c>
      <c r="I89" s="4"/>
      <c r="J89" s="4"/>
      <c r="K89" s="4">
        <v>224</v>
      </c>
      <c r="L89" s="4">
        <v>27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>
        <v>688164.08</v>
      </c>
      <c r="X89" s="4">
        <v>1</v>
      </c>
      <c r="Y89" s="4">
        <v>688164.08</v>
      </c>
      <c r="Z89" s="4"/>
      <c r="AA89" s="4"/>
      <c r="AB89" s="4"/>
    </row>
    <row r="90" spans="1:28" x14ac:dyDescent="0.2">
      <c r="A90" s="4">
        <v>50</v>
      </c>
      <c r="B90" s="4">
        <v>1</v>
      </c>
      <c r="C90" s="4">
        <v>0</v>
      </c>
      <c r="D90" s="4">
        <v>2</v>
      </c>
      <c r="E90" s="4">
        <v>0</v>
      </c>
      <c r="F90" s="4">
        <f>ROUND(F76,O90)</f>
        <v>41503.99</v>
      </c>
      <c r="G90" s="4" t="s">
        <v>240</v>
      </c>
      <c r="H90" s="4" t="s">
        <v>212</v>
      </c>
      <c r="I90" s="4"/>
      <c r="J90" s="4"/>
      <c r="K90" s="4">
        <v>212</v>
      </c>
      <c r="L90" s="4">
        <v>28</v>
      </c>
      <c r="M90" s="4">
        <v>0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>
        <v>41503.99</v>
      </c>
      <c r="X90" s="4">
        <v>1</v>
      </c>
      <c r="Y90" s="4">
        <v>41503.99</v>
      </c>
      <c r="Z90" s="4"/>
      <c r="AA90" s="4"/>
      <c r="AB90" s="4"/>
    </row>
    <row r="91" spans="1:28" x14ac:dyDescent="0.2">
      <c r="A91" s="4">
        <v>50</v>
      </c>
      <c r="B91" s="4">
        <v>1</v>
      </c>
      <c r="C91" s="4">
        <v>0</v>
      </c>
      <c r="D91" s="4">
        <v>2</v>
      </c>
      <c r="E91" s="4">
        <v>0</v>
      </c>
      <c r="F91" s="4">
        <f>ROUND(F73,O91)</f>
        <v>8341.85</v>
      </c>
      <c r="G91" s="4" t="s">
        <v>241</v>
      </c>
      <c r="H91" s="4" t="s">
        <v>242</v>
      </c>
      <c r="I91" s="4"/>
      <c r="J91" s="4"/>
      <c r="K91" s="4">
        <v>212</v>
      </c>
      <c r="L91" s="4">
        <v>29</v>
      </c>
      <c r="M91" s="4">
        <v>0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>
        <v>8341.85</v>
      </c>
      <c r="X91" s="4">
        <v>1</v>
      </c>
      <c r="Y91" s="4">
        <v>8341.85</v>
      </c>
      <c r="Z91" s="4"/>
      <c r="AA91" s="4"/>
      <c r="AB91" s="4"/>
    </row>
    <row r="92" spans="1:28" x14ac:dyDescent="0.2">
      <c r="A92" s="4">
        <v>50</v>
      </c>
      <c r="B92" s="4">
        <v>1</v>
      </c>
      <c r="C92" s="4">
        <v>0</v>
      </c>
      <c r="D92" s="4">
        <v>2</v>
      </c>
      <c r="E92" s="4">
        <v>0</v>
      </c>
      <c r="F92" s="4">
        <f>ROUND(F64,O92)</f>
        <v>578048.03</v>
      </c>
      <c r="G92" s="4" t="s">
        <v>243</v>
      </c>
      <c r="H92" s="4" t="s">
        <v>244</v>
      </c>
      <c r="I92" s="4"/>
      <c r="J92" s="4"/>
      <c r="K92" s="4">
        <v>212</v>
      </c>
      <c r="L92" s="4">
        <v>30</v>
      </c>
      <c r="M92" s="4">
        <v>0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>
        <v>578048.03</v>
      </c>
      <c r="X92" s="4">
        <v>1</v>
      </c>
      <c r="Y92" s="4">
        <v>578048.03</v>
      </c>
      <c r="Z92" s="4"/>
      <c r="AA92" s="4"/>
      <c r="AB92" s="4"/>
    </row>
    <row r="93" spans="1:28" x14ac:dyDescent="0.2">
      <c r="A93" s="4">
        <v>50</v>
      </c>
      <c r="B93" s="4">
        <v>1</v>
      </c>
      <c r="C93" s="4">
        <v>0</v>
      </c>
      <c r="D93" s="4">
        <v>2</v>
      </c>
      <c r="E93" s="4">
        <v>0</v>
      </c>
      <c r="F93" s="4">
        <f>ROUND(F87,O93)</f>
        <v>39788.71</v>
      </c>
      <c r="G93" s="4" t="s">
        <v>245</v>
      </c>
      <c r="H93" s="4" t="s">
        <v>234</v>
      </c>
      <c r="I93" s="4"/>
      <c r="J93" s="4"/>
      <c r="K93" s="4">
        <v>212</v>
      </c>
      <c r="L93" s="4">
        <v>31</v>
      </c>
      <c r="M93" s="4">
        <v>0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>
        <v>39788.71</v>
      </c>
      <c r="X93" s="4">
        <v>1</v>
      </c>
      <c r="Y93" s="4">
        <v>39788.71</v>
      </c>
      <c r="Z93" s="4"/>
      <c r="AA93" s="4"/>
      <c r="AB93" s="4"/>
    </row>
    <row r="94" spans="1:28" x14ac:dyDescent="0.2">
      <c r="A94" s="4">
        <v>50</v>
      </c>
      <c r="B94" s="4">
        <v>1</v>
      </c>
      <c r="C94" s="4">
        <v>0</v>
      </c>
      <c r="D94" s="4">
        <v>2</v>
      </c>
      <c r="E94" s="4">
        <v>0</v>
      </c>
      <c r="F94" s="4">
        <f>ROUND(F88,O94)</f>
        <v>20481.5</v>
      </c>
      <c r="G94" s="4" t="s">
        <v>246</v>
      </c>
      <c r="H94" s="4" t="s">
        <v>247</v>
      </c>
      <c r="I94" s="4"/>
      <c r="J94" s="4"/>
      <c r="K94" s="4">
        <v>212</v>
      </c>
      <c r="L94" s="4">
        <v>32</v>
      </c>
      <c r="M94" s="4">
        <v>0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>
        <v>20481.5</v>
      </c>
      <c r="X94" s="4">
        <v>1</v>
      </c>
      <c r="Y94" s="4">
        <v>20481.5</v>
      </c>
      <c r="Z94" s="4"/>
      <c r="AA94" s="4"/>
      <c r="AB94" s="4"/>
    </row>
    <row r="95" spans="1:28" x14ac:dyDescent="0.2">
      <c r="A95" s="4">
        <v>50</v>
      </c>
      <c r="B95" s="4">
        <v>1</v>
      </c>
      <c r="C95" s="4">
        <v>0</v>
      </c>
      <c r="D95" s="4">
        <v>2</v>
      </c>
      <c r="E95" s="4">
        <v>0</v>
      </c>
      <c r="F95" s="4">
        <f>ROUND(F90+F91+F92+F93+F94,O95)</f>
        <v>688164.08</v>
      </c>
      <c r="G95" s="4" t="s">
        <v>248</v>
      </c>
      <c r="H95" s="4" t="s">
        <v>238</v>
      </c>
      <c r="I95" s="4"/>
      <c r="J95" s="4"/>
      <c r="K95" s="4">
        <v>212</v>
      </c>
      <c r="L95" s="4">
        <v>33</v>
      </c>
      <c r="M95" s="4">
        <v>0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>
        <v>688164.08</v>
      </c>
      <c r="X95" s="4">
        <v>1</v>
      </c>
      <c r="Y95" s="4">
        <v>688164.08</v>
      </c>
      <c r="Z95" s="4"/>
      <c r="AA95" s="4"/>
      <c r="AB95" s="4"/>
    </row>
    <row r="96" spans="1:28" x14ac:dyDescent="0.2">
      <c r="A96" s="4">
        <v>50</v>
      </c>
      <c r="B96" s="4">
        <v>1</v>
      </c>
      <c r="C96" s="4">
        <v>0</v>
      </c>
      <c r="D96" s="4">
        <v>2</v>
      </c>
      <c r="E96" s="4">
        <v>0</v>
      </c>
      <c r="F96" s="4">
        <f>ROUND(F95*0.2,O96)</f>
        <v>137632.82</v>
      </c>
      <c r="G96" s="4" t="s">
        <v>249</v>
      </c>
      <c r="H96" s="4" t="s">
        <v>250</v>
      </c>
      <c r="I96" s="4"/>
      <c r="J96" s="4"/>
      <c r="K96" s="4">
        <v>212</v>
      </c>
      <c r="L96" s="4">
        <v>34</v>
      </c>
      <c r="M96" s="4">
        <v>0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>
        <v>137632.82</v>
      </c>
      <c r="X96" s="4">
        <v>1</v>
      </c>
      <c r="Y96" s="4">
        <v>137632.82</v>
      </c>
      <c r="Z96" s="4"/>
      <c r="AA96" s="4"/>
      <c r="AB96" s="4"/>
    </row>
    <row r="97" spans="1:206" x14ac:dyDescent="0.2">
      <c r="A97" s="4">
        <v>50</v>
      </c>
      <c r="B97" s="4">
        <v>1</v>
      </c>
      <c r="C97" s="4">
        <v>0</v>
      </c>
      <c r="D97" s="4">
        <v>2</v>
      </c>
      <c r="E97" s="4">
        <v>213</v>
      </c>
      <c r="F97" s="4">
        <f>ROUND(F95+F96,O97)</f>
        <v>825796.9</v>
      </c>
      <c r="G97" s="4" t="s">
        <v>251</v>
      </c>
      <c r="H97" s="4" t="s">
        <v>252</v>
      </c>
      <c r="I97" s="4"/>
      <c r="J97" s="4"/>
      <c r="K97" s="4">
        <v>212</v>
      </c>
      <c r="L97" s="4">
        <v>35</v>
      </c>
      <c r="M97" s="4">
        <v>0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>
        <v>825796.9</v>
      </c>
      <c r="X97" s="4">
        <v>1</v>
      </c>
      <c r="Y97" s="4">
        <v>825796.9</v>
      </c>
      <c r="Z97" s="4"/>
      <c r="AA97" s="4"/>
      <c r="AB97" s="4"/>
    </row>
    <row r="99" spans="1:206" x14ac:dyDescent="0.2">
      <c r="A99" s="2">
        <v>51</v>
      </c>
      <c r="B99" s="2">
        <f>B12</f>
        <v>165</v>
      </c>
      <c r="C99" s="2">
        <f>A12</f>
        <v>1</v>
      </c>
      <c r="D99" s="2">
        <f>ROW(A12)</f>
        <v>12</v>
      </c>
      <c r="E99" s="2"/>
      <c r="F99" s="2" t="str">
        <f>IF(F12&lt;&gt;"",F12,"")</f>
        <v/>
      </c>
      <c r="G99" s="2" t="str">
        <f>IF(G12&lt;&gt;"",G12,"")</f>
        <v>Строительство КЛ-0,4 кВ от ТП-6/0,4 кВ до ВРУ-0,4 кВ многоквартирного жилого дома поз.5 в микрорайоне "Акварель", г. Чебоксары, к.н. 21:01:010901:3323</v>
      </c>
      <c r="H99" s="2">
        <v>0</v>
      </c>
      <c r="I99" s="2"/>
      <c r="J99" s="2"/>
      <c r="K99" s="2"/>
      <c r="L99" s="2"/>
      <c r="M99" s="2"/>
      <c r="N99" s="2"/>
      <c r="O99" s="2">
        <f t="shared" ref="O99:T99" si="56">ROUND(O61,2)</f>
        <v>627893.87</v>
      </c>
      <c r="P99" s="2">
        <f t="shared" si="56"/>
        <v>578048.03</v>
      </c>
      <c r="Q99" s="2">
        <f t="shared" si="56"/>
        <v>8341.85</v>
      </c>
      <c r="R99" s="2">
        <f t="shared" si="56"/>
        <v>841.23</v>
      </c>
      <c r="S99" s="2">
        <f t="shared" si="56"/>
        <v>41503.99</v>
      </c>
      <c r="T99" s="2">
        <f t="shared" si="56"/>
        <v>0</v>
      </c>
      <c r="U99" s="2">
        <f>U61</f>
        <v>143.12730480000002</v>
      </c>
      <c r="V99" s="2">
        <f>V61</f>
        <v>2.3238483999999997</v>
      </c>
      <c r="W99" s="2">
        <f>ROUND(W61,2)</f>
        <v>0</v>
      </c>
      <c r="X99" s="2">
        <f>ROUND(X61,2)</f>
        <v>39788.71</v>
      </c>
      <c r="Y99" s="2">
        <f>ROUND(Y61,2)</f>
        <v>20481.5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>
        <f t="shared" ref="AO99:BD99" si="57">ROUND(AO61,2)</f>
        <v>0</v>
      </c>
      <c r="AP99" s="2">
        <f t="shared" si="57"/>
        <v>0</v>
      </c>
      <c r="AQ99" s="2">
        <f t="shared" si="57"/>
        <v>0</v>
      </c>
      <c r="AR99" s="2">
        <f t="shared" si="57"/>
        <v>688164.08</v>
      </c>
      <c r="AS99" s="2">
        <f t="shared" si="57"/>
        <v>597955.9</v>
      </c>
      <c r="AT99" s="2">
        <f t="shared" si="57"/>
        <v>82973.789999999994</v>
      </c>
      <c r="AU99" s="2">
        <f t="shared" si="57"/>
        <v>7234.39</v>
      </c>
      <c r="AV99" s="2">
        <f t="shared" si="57"/>
        <v>578048.03</v>
      </c>
      <c r="AW99" s="2">
        <f t="shared" si="57"/>
        <v>578048.03</v>
      </c>
      <c r="AX99" s="2">
        <f t="shared" si="57"/>
        <v>0</v>
      </c>
      <c r="AY99" s="2">
        <f t="shared" si="57"/>
        <v>578048.03</v>
      </c>
      <c r="AZ99" s="2">
        <f t="shared" si="57"/>
        <v>0</v>
      </c>
      <c r="BA99" s="2">
        <f t="shared" si="57"/>
        <v>0</v>
      </c>
      <c r="BB99" s="2">
        <f t="shared" si="57"/>
        <v>0</v>
      </c>
      <c r="BC99" s="2">
        <f t="shared" si="57"/>
        <v>0</v>
      </c>
      <c r="BD99" s="2">
        <f t="shared" si="57"/>
        <v>0</v>
      </c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>
        <v>0</v>
      </c>
    </row>
    <row r="101" spans="1:206" x14ac:dyDescent="0.2">
      <c r="A101" s="4">
        <v>50</v>
      </c>
      <c r="B101" s="4">
        <v>0</v>
      </c>
      <c r="C101" s="4">
        <v>0</v>
      </c>
      <c r="D101" s="4">
        <v>1</v>
      </c>
      <c r="E101" s="4">
        <v>201</v>
      </c>
      <c r="F101" s="4">
        <f>ROUND(Source!O99,O101)</f>
        <v>627893.87</v>
      </c>
      <c r="G101" s="4" t="s">
        <v>186</v>
      </c>
      <c r="H101" s="4" t="s">
        <v>187</v>
      </c>
      <c r="I101" s="4"/>
      <c r="J101" s="4"/>
      <c r="K101" s="4">
        <v>201</v>
      </c>
      <c r="L101" s="4">
        <v>1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>
        <v>627893.87</v>
      </c>
      <c r="X101" s="4">
        <v>1</v>
      </c>
      <c r="Y101" s="4">
        <v>627893.87</v>
      </c>
      <c r="Z101" s="4"/>
      <c r="AA101" s="4"/>
      <c r="AB101" s="4"/>
    </row>
    <row r="102" spans="1:206" x14ac:dyDescent="0.2">
      <c r="A102" s="4">
        <v>50</v>
      </c>
      <c r="B102" s="4">
        <v>0</v>
      </c>
      <c r="C102" s="4">
        <v>0</v>
      </c>
      <c r="D102" s="4">
        <v>1</v>
      </c>
      <c r="E102" s="4">
        <v>202</v>
      </c>
      <c r="F102" s="4">
        <f>ROUND(Source!P99,O102)</f>
        <v>578048.03</v>
      </c>
      <c r="G102" s="4" t="s">
        <v>188</v>
      </c>
      <c r="H102" s="4" t="s">
        <v>189</v>
      </c>
      <c r="I102" s="4"/>
      <c r="J102" s="4"/>
      <c r="K102" s="4">
        <v>202</v>
      </c>
      <c r="L102" s="4">
        <v>2</v>
      </c>
      <c r="M102" s="4">
        <v>3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>
        <v>578048.03</v>
      </c>
      <c r="X102" s="4">
        <v>1</v>
      </c>
      <c r="Y102" s="4">
        <v>578048.03</v>
      </c>
      <c r="Z102" s="4"/>
      <c r="AA102" s="4"/>
      <c r="AB102" s="4"/>
    </row>
    <row r="103" spans="1:206" x14ac:dyDescent="0.2">
      <c r="A103" s="4">
        <v>50</v>
      </c>
      <c r="B103" s="4">
        <v>0</v>
      </c>
      <c r="C103" s="4">
        <v>0</v>
      </c>
      <c r="D103" s="4">
        <v>1</v>
      </c>
      <c r="E103" s="4">
        <v>222</v>
      </c>
      <c r="F103" s="4">
        <f>ROUND(Source!AO99,O103)</f>
        <v>0</v>
      </c>
      <c r="G103" s="4" t="s">
        <v>190</v>
      </c>
      <c r="H103" s="4" t="s">
        <v>191</v>
      </c>
      <c r="I103" s="4"/>
      <c r="J103" s="4"/>
      <c r="K103" s="4">
        <v>222</v>
      </c>
      <c r="L103" s="4">
        <v>3</v>
      </c>
      <c r="M103" s="4">
        <v>3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>
        <v>0</v>
      </c>
      <c r="X103" s="4">
        <v>1</v>
      </c>
      <c r="Y103" s="4">
        <v>0</v>
      </c>
      <c r="Z103" s="4"/>
      <c r="AA103" s="4"/>
      <c r="AB103" s="4"/>
    </row>
    <row r="104" spans="1:206" x14ac:dyDescent="0.2">
      <c r="A104" s="4">
        <v>50</v>
      </c>
      <c r="B104" s="4">
        <v>0</v>
      </c>
      <c r="C104" s="4">
        <v>0</v>
      </c>
      <c r="D104" s="4">
        <v>1</v>
      </c>
      <c r="E104" s="4">
        <v>225</v>
      </c>
      <c r="F104" s="4">
        <f>ROUND(Source!AV99,O104)</f>
        <v>578048.03</v>
      </c>
      <c r="G104" s="4" t="s">
        <v>192</v>
      </c>
      <c r="H104" s="4" t="s">
        <v>193</v>
      </c>
      <c r="I104" s="4"/>
      <c r="J104" s="4"/>
      <c r="K104" s="4">
        <v>225</v>
      </c>
      <c r="L104" s="4">
        <v>4</v>
      </c>
      <c r="M104" s="4">
        <v>3</v>
      </c>
      <c r="N104" s="4" t="s">
        <v>3</v>
      </c>
      <c r="O104" s="4">
        <v>2</v>
      </c>
      <c r="P104" s="4"/>
      <c r="Q104" s="4"/>
      <c r="R104" s="4"/>
      <c r="S104" s="4"/>
      <c r="T104" s="4"/>
      <c r="U104" s="4"/>
      <c r="V104" s="4"/>
      <c r="W104" s="4">
        <v>578048.03</v>
      </c>
      <c r="X104" s="4">
        <v>1</v>
      </c>
      <c r="Y104" s="4">
        <v>578048.03</v>
      </c>
      <c r="Z104" s="4"/>
      <c r="AA104" s="4"/>
      <c r="AB104" s="4"/>
    </row>
    <row r="105" spans="1:206" x14ac:dyDescent="0.2">
      <c r="A105" s="4">
        <v>50</v>
      </c>
      <c r="B105" s="4">
        <v>0</v>
      </c>
      <c r="C105" s="4">
        <v>0</v>
      </c>
      <c r="D105" s="4">
        <v>1</v>
      </c>
      <c r="E105" s="4">
        <v>226</v>
      </c>
      <c r="F105" s="4">
        <f>ROUND(Source!AW99,O105)</f>
        <v>578048.03</v>
      </c>
      <c r="G105" s="4" t="s">
        <v>194</v>
      </c>
      <c r="H105" s="4" t="s">
        <v>195</v>
      </c>
      <c r="I105" s="4"/>
      <c r="J105" s="4"/>
      <c r="K105" s="4">
        <v>226</v>
      </c>
      <c r="L105" s="4">
        <v>5</v>
      </c>
      <c r="M105" s="4">
        <v>3</v>
      </c>
      <c r="N105" s="4" t="s">
        <v>3</v>
      </c>
      <c r="O105" s="4">
        <v>2</v>
      </c>
      <c r="P105" s="4"/>
      <c r="Q105" s="4"/>
      <c r="R105" s="4"/>
      <c r="S105" s="4"/>
      <c r="T105" s="4"/>
      <c r="U105" s="4"/>
      <c r="V105" s="4"/>
      <c r="W105" s="4">
        <v>578048.03</v>
      </c>
      <c r="X105" s="4">
        <v>1</v>
      </c>
      <c r="Y105" s="4">
        <v>578048.03</v>
      </c>
      <c r="Z105" s="4"/>
      <c r="AA105" s="4"/>
      <c r="AB105" s="4"/>
    </row>
    <row r="106" spans="1:206" x14ac:dyDescent="0.2">
      <c r="A106" s="4">
        <v>50</v>
      </c>
      <c r="B106" s="4">
        <v>0</v>
      </c>
      <c r="C106" s="4">
        <v>0</v>
      </c>
      <c r="D106" s="4">
        <v>1</v>
      </c>
      <c r="E106" s="4">
        <v>227</v>
      </c>
      <c r="F106" s="4">
        <f>ROUND(Source!AX99,O106)</f>
        <v>0</v>
      </c>
      <c r="G106" s="4" t="s">
        <v>196</v>
      </c>
      <c r="H106" s="4" t="s">
        <v>197</v>
      </c>
      <c r="I106" s="4"/>
      <c r="J106" s="4"/>
      <c r="K106" s="4">
        <v>227</v>
      </c>
      <c r="L106" s="4">
        <v>6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>
        <v>0</v>
      </c>
      <c r="X106" s="4">
        <v>1</v>
      </c>
      <c r="Y106" s="4">
        <v>0</v>
      </c>
      <c r="Z106" s="4"/>
      <c r="AA106" s="4"/>
      <c r="AB106" s="4"/>
    </row>
    <row r="107" spans="1:206" x14ac:dyDescent="0.2">
      <c r="A107" s="4">
        <v>50</v>
      </c>
      <c r="B107" s="4">
        <v>0</v>
      </c>
      <c r="C107" s="4">
        <v>0</v>
      </c>
      <c r="D107" s="4">
        <v>1</v>
      </c>
      <c r="E107" s="4">
        <v>228</v>
      </c>
      <c r="F107" s="4">
        <f>ROUND(Source!AY99,O107)</f>
        <v>578048.03</v>
      </c>
      <c r="G107" s="4" t="s">
        <v>198</v>
      </c>
      <c r="H107" s="4" t="s">
        <v>199</v>
      </c>
      <c r="I107" s="4"/>
      <c r="J107" s="4"/>
      <c r="K107" s="4">
        <v>228</v>
      </c>
      <c r="L107" s="4">
        <v>7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>
        <v>578048.03</v>
      </c>
      <c r="X107" s="4">
        <v>1</v>
      </c>
      <c r="Y107" s="4">
        <v>578048.03</v>
      </c>
      <c r="Z107" s="4"/>
      <c r="AA107" s="4"/>
      <c r="AB107" s="4"/>
    </row>
    <row r="108" spans="1:206" x14ac:dyDescent="0.2">
      <c r="A108" s="4">
        <v>50</v>
      </c>
      <c r="B108" s="4">
        <v>0</v>
      </c>
      <c r="C108" s="4">
        <v>0</v>
      </c>
      <c r="D108" s="4">
        <v>1</v>
      </c>
      <c r="E108" s="4">
        <v>216</v>
      </c>
      <c r="F108" s="4">
        <f>ROUND(Source!AP99,O108)</f>
        <v>0</v>
      </c>
      <c r="G108" s="4" t="s">
        <v>200</v>
      </c>
      <c r="H108" s="4" t="s">
        <v>201</v>
      </c>
      <c r="I108" s="4"/>
      <c r="J108" s="4"/>
      <c r="K108" s="4">
        <v>216</v>
      </c>
      <c r="L108" s="4">
        <v>8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>
        <v>0</v>
      </c>
      <c r="X108" s="4">
        <v>1</v>
      </c>
      <c r="Y108" s="4">
        <v>0</v>
      </c>
      <c r="Z108" s="4"/>
      <c r="AA108" s="4"/>
      <c r="AB108" s="4"/>
    </row>
    <row r="109" spans="1:206" x14ac:dyDescent="0.2">
      <c r="A109" s="4">
        <v>50</v>
      </c>
      <c r="B109" s="4">
        <v>0</v>
      </c>
      <c r="C109" s="4">
        <v>0</v>
      </c>
      <c r="D109" s="4">
        <v>1</v>
      </c>
      <c r="E109" s="4">
        <v>223</v>
      </c>
      <c r="F109" s="4">
        <f>ROUND(Source!AQ99,O109)</f>
        <v>0</v>
      </c>
      <c r="G109" s="4" t="s">
        <v>202</v>
      </c>
      <c r="H109" s="4" t="s">
        <v>203</v>
      </c>
      <c r="I109" s="4"/>
      <c r="J109" s="4"/>
      <c r="K109" s="4">
        <v>223</v>
      </c>
      <c r="L109" s="4">
        <v>9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>
        <v>0</v>
      </c>
      <c r="X109" s="4">
        <v>1</v>
      </c>
      <c r="Y109" s="4">
        <v>0</v>
      </c>
      <c r="Z109" s="4"/>
      <c r="AA109" s="4"/>
      <c r="AB109" s="4"/>
    </row>
    <row r="110" spans="1:206" x14ac:dyDescent="0.2">
      <c r="A110" s="4">
        <v>50</v>
      </c>
      <c r="B110" s="4">
        <v>0</v>
      </c>
      <c r="C110" s="4">
        <v>0</v>
      </c>
      <c r="D110" s="4">
        <v>1</v>
      </c>
      <c r="E110" s="4">
        <v>229</v>
      </c>
      <c r="F110" s="4">
        <f>ROUND(Source!AZ99,O110)</f>
        <v>0</v>
      </c>
      <c r="G110" s="4" t="s">
        <v>204</v>
      </c>
      <c r="H110" s="4" t="s">
        <v>205</v>
      </c>
      <c r="I110" s="4"/>
      <c r="J110" s="4"/>
      <c r="K110" s="4">
        <v>229</v>
      </c>
      <c r="L110" s="4">
        <v>10</v>
      </c>
      <c r="M110" s="4">
        <v>3</v>
      </c>
      <c r="N110" s="4" t="s">
        <v>3</v>
      </c>
      <c r="O110" s="4">
        <v>2</v>
      </c>
      <c r="P110" s="4"/>
      <c r="Q110" s="4"/>
      <c r="R110" s="4"/>
      <c r="S110" s="4"/>
      <c r="T110" s="4"/>
      <c r="U110" s="4"/>
      <c r="V110" s="4"/>
      <c r="W110" s="4">
        <v>0</v>
      </c>
      <c r="X110" s="4">
        <v>1</v>
      </c>
      <c r="Y110" s="4">
        <v>0</v>
      </c>
      <c r="Z110" s="4"/>
      <c r="AA110" s="4"/>
      <c r="AB110" s="4"/>
    </row>
    <row r="111" spans="1:206" x14ac:dyDescent="0.2">
      <c r="A111" s="4">
        <v>50</v>
      </c>
      <c r="B111" s="4">
        <v>0</v>
      </c>
      <c r="C111" s="4">
        <v>0</v>
      </c>
      <c r="D111" s="4">
        <v>1</v>
      </c>
      <c r="E111" s="4">
        <v>203</v>
      </c>
      <c r="F111" s="4">
        <f>ROUND(Source!Q99,O111)</f>
        <v>8341.85</v>
      </c>
      <c r="G111" s="4" t="s">
        <v>206</v>
      </c>
      <c r="H111" s="4" t="s">
        <v>207</v>
      </c>
      <c r="I111" s="4"/>
      <c r="J111" s="4"/>
      <c r="K111" s="4">
        <v>203</v>
      </c>
      <c r="L111" s="4">
        <v>11</v>
      </c>
      <c r="M111" s="4">
        <v>3</v>
      </c>
      <c r="N111" s="4" t="s">
        <v>3</v>
      </c>
      <c r="O111" s="4">
        <v>2</v>
      </c>
      <c r="P111" s="4"/>
      <c r="Q111" s="4"/>
      <c r="R111" s="4"/>
      <c r="S111" s="4"/>
      <c r="T111" s="4"/>
      <c r="U111" s="4"/>
      <c r="V111" s="4"/>
      <c r="W111" s="4">
        <v>8341.85</v>
      </c>
      <c r="X111" s="4">
        <v>1</v>
      </c>
      <c r="Y111" s="4">
        <v>8341.85</v>
      </c>
      <c r="Z111" s="4"/>
      <c r="AA111" s="4"/>
      <c r="AB111" s="4"/>
    </row>
    <row r="112" spans="1:206" x14ac:dyDescent="0.2">
      <c r="A112" s="4">
        <v>50</v>
      </c>
      <c r="B112" s="4">
        <v>0</v>
      </c>
      <c r="C112" s="4">
        <v>0</v>
      </c>
      <c r="D112" s="4">
        <v>1</v>
      </c>
      <c r="E112" s="4">
        <v>231</v>
      </c>
      <c r="F112" s="4">
        <f>ROUND(Source!BB99,O112)</f>
        <v>0</v>
      </c>
      <c r="G112" s="4" t="s">
        <v>208</v>
      </c>
      <c r="H112" s="4" t="s">
        <v>209</v>
      </c>
      <c r="I112" s="4"/>
      <c r="J112" s="4"/>
      <c r="K112" s="4">
        <v>231</v>
      </c>
      <c r="L112" s="4">
        <v>12</v>
      </c>
      <c r="M112" s="4">
        <v>3</v>
      </c>
      <c r="N112" s="4" t="s">
        <v>3</v>
      </c>
      <c r="O112" s="4">
        <v>2</v>
      </c>
      <c r="P112" s="4"/>
      <c r="Q112" s="4"/>
      <c r="R112" s="4"/>
      <c r="S112" s="4"/>
      <c r="T112" s="4"/>
      <c r="U112" s="4"/>
      <c r="V112" s="4"/>
      <c r="W112" s="4">
        <v>0</v>
      </c>
      <c r="X112" s="4">
        <v>1</v>
      </c>
      <c r="Y112" s="4">
        <v>0</v>
      </c>
      <c r="Z112" s="4"/>
      <c r="AA112" s="4"/>
      <c r="AB112" s="4"/>
    </row>
    <row r="113" spans="1:28" x14ac:dyDescent="0.2">
      <c r="A113" s="4">
        <v>50</v>
      </c>
      <c r="B113" s="4">
        <v>0</v>
      </c>
      <c r="C113" s="4">
        <v>0</v>
      </c>
      <c r="D113" s="4">
        <v>1</v>
      </c>
      <c r="E113" s="4">
        <v>204</v>
      </c>
      <c r="F113" s="4">
        <f>ROUND(Source!R99,O113)</f>
        <v>841.23</v>
      </c>
      <c r="G113" s="4" t="s">
        <v>210</v>
      </c>
      <c r="H113" s="4" t="s">
        <v>211</v>
      </c>
      <c r="I113" s="4"/>
      <c r="J113" s="4"/>
      <c r="K113" s="4">
        <v>204</v>
      </c>
      <c r="L113" s="4">
        <v>13</v>
      </c>
      <c r="M113" s="4">
        <v>3</v>
      </c>
      <c r="N113" s="4" t="s">
        <v>3</v>
      </c>
      <c r="O113" s="4">
        <v>2</v>
      </c>
      <c r="P113" s="4"/>
      <c r="Q113" s="4"/>
      <c r="R113" s="4"/>
      <c r="S113" s="4"/>
      <c r="T113" s="4"/>
      <c r="U113" s="4"/>
      <c r="V113" s="4"/>
      <c r="W113" s="4">
        <v>841.23</v>
      </c>
      <c r="X113" s="4">
        <v>1</v>
      </c>
      <c r="Y113" s="4">
        <v>841.23</v>
      </c>
      <c r="Z113" s="4"/>
      <c r="AA113" s="4"/>
      <c r="AB113" s="4"/>
    </row>
    <row r="114" spans="1:28" x14ac:dyDescent="0.2">
      <c r="A114" s="4">
        <v>50</v>
      </c>
      <c r="B114" s="4">
        <v>0</v>
      </c>
      <c r="C114" s="4">
        <v>0</v>
      </c>
      <c r="D114" s="4">
        <v>1</v>
      </c>
      <c r="E114" s="4">
        <v>205</v>
      </c>
      <c r="F114" s="4">
        <f>ROUND(Source!S99,O114)</f>
        <v>41503.99</v>
      </c>
      <c r="G114" s="4" t="s">
        <v>212</v>
      </c>
      <c r="H114" s="4" t="s">
        <v>213</v>
      </c>
      <c r="I114" s="4"/>
      <c r="J114" s="4"/>
      <c r="K114" s="4">
        <v>205</v>
      </c>
      <c r="L114" s="4">
        <v>14</v>
      </c>
      <c r="M114" s="4">
        <v>3</v>
      </c>
      <c r="N114" s="4" t="s">
        <v>3</v>
      </c>
      <c r="O114" s="4">
        <v>2</v>
      </c>
      <c r="P114" s="4"/>
      <c r="Q114" s="4"/>
      <c r="R114" s="4"/>
      <c r="S114" s="4"/>
      <c r="T114" s="4"/>
      <c r="U114" s="4"/>
      <c r="V114" s="4"/>
      <c r="W114" s="4">
        <v>41503.99</v>
      </c>
      <c r="X114" s="4">
        <v>1</v>
      </c>
      <c r="Y114" s="4">
        <v>41503.99</v>
      </c>
      <c r="Z114" s="4"/>
      <c r="AA114" s="4"/>
      <c r="AB114" s="4"/>
    </row>
    <row r="115" spans="1:28" x14ac:dyDescent="0.2">
      <c r="A115" s="4">
        <v>50</v>
      </c>
      <c r="B115" s="4">
        <v>0</v>
      </c>
      <c r="C115" s="4">
        <v>0</v>
      </c>
      <c r="D115" s="4">
        <v>1</v>
      </c>
      <c r="E115" s="4">
        <v>232</v>
      </c>
      <c r="F115" s="4">
        <f>ROUND(Source!BC99,O115)</f>
        <v>0</v>
      </c>
      <c r="G115" s="4" t="s">
        <v>214</v>
      </c>
      <c r="H115" s="4" t="s">
        <v>215</v>
      </c>
      <c r="I115" s="4"/>
      <c r="J115" s="4"/>
      <c r="K115" s="4">
        <v>232</v>
      </c>
      <c r="L115" s="4">
        <v>15</v>
      </c>
      <c r="M115" s="4">
        <v>3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>
        <v>0</v>
      </c>
      <c r="X115" s="4">
        <v>1</v>
      </c>
      <c r="Y115" s="4">
        <v>0</v>
      </c>
      <c r="Z115" s="4"/>
      <c r="AA115" s="4"/>
      <c r="AB115" s="4"/>
    </row>
    <row r="116" spans="1:28" x14ac:dyDescent="0.2">
      <c r="A116" s="4">
        <v>50</v>
      </c>
      <c r="B116" s="4">
        <v>0</v>
      </c>
      <c r="C116" s="4">
        <v>0</v>
      </c>
      <c r="D116" s="4">
        <v>1</v>
      </c>
      <c r="E116" s="4">
        <v>214</v>
      </c>
      <c r="F116" s="4">
        <f>ROUND(Source!AS99,O116)</f>
        <v>597955.9</v>
      </c>
      <c r="G116" s="4" t="s">
        <v>216</v>
      </c>
      <c r="H116" s="4" t="s">
        <v>217</v>
      </c>
      <c r="I116" s="4"/>
      <c r="J116" s="4"/>
      <c r="K116" s="4">
        <v>214</v>
      </c>
      <c r="L116" s="4">
        <v>16</v>
      </c>
      <c r="M116" s="4">
        <v>3</v>
      </c>
      <c r="N116" s="4" t="s">
        <v>3</v>
      </c>
      <c r="O116" s="4">
        <v>2</v>
      </c>
      <c r="P116" s="4"/>
      <c r="Q116" s="4"/>
      <c r="R116" s="4"/>
      <c r="S116" s="4"/>
      <c r="T116" s="4"/>
      <c r="U116" s="4"/>
      <c r="V116" s="4"/>
      <c r="W116" s="4">
        <v>597955.9</v>
      </c>
      <c r="X116" s="4">
        <v>1</v>
      </c>
      <c r="Y116" s="4">
        <v>597955.9</v>
      </c>
      <c r="Z116" s="4"/>
      <c r="AA116" s="4"/>
      <c r="AB116" s="4"/>
    </row>
    <row r="117" spans="1:28" x14ac:dyDescent="0.2">
      <c r="A117" s="4">
        <v>50</v>
      </c>
      <c r="B117" s="4">
        <v>0</v>
      </c>
      <c r="C117" s="4">
        <v>0</v>
      </c>
      <c r="D117" s="4">
        <v>1</v>
      </c>
      <c r="E117" s="4">
        <v>215</v>
      </c>
      <c r="F117" s="4">
        <f>ROUND(Source!AT99,O117)</f>
        <v>82973.789999999994</v>
      </c>
      <c r="G117" s="4" t="s">
        <v>218</v>
      </c>
      <c r="H117" s="4" t="s">
        <v>219</v>
      </c>
      <c r="I117" s="4"/>
      <c r="J117" s="4"/>
      <c r="K117" s="4">
        <v>215</v>
      </c>
      <c r="L117" s="4">
        <v>17</v>
      </c>
      <c r="M117" s="4">
        <v>3</v>
      </c>
      <c r="N117" s="4" t="s">
        <v>3</v>
      </c>
      <c r="O117" s="4">
        <v>2</v>
      </c>
      <c r="P117" s="4"/>
      <c r="Q117" s="4"/>
      <c r="R117" s="4"/>
      <c r="S117" s="4"/>
      <c r="T117" s="4"/>
      <c r="U117" s="4"/>
      <c r="V117" s="4"/>
      <c r="W117" s="4">
        <v>82973.789999999994</v>
      </c>
      <c r="X117" s="4">
        <v>1</v>
      </c>
      <c r="Y117" s="4">
        <v>82973.789999999994</v>
      </c>
      <c r="Z117" s="4"/>
      <c r="AA117" s="4"/>
      <c r="AB117" s="4"/>
    </row>
    <row r="118" spans="1:28" x14ac:dyDescent="0.2">
      <c r="A118" s="4">
        <v>50</v>
      </c>
      <c r="B118" s="4">
        <v>0</v>
      </c>
      <c r="C118" s="4">
        <v>0</v>
      </c>
      <c r="D118" s="4">
        <v>1</v>
      </c>
      <c r="E118" s="4">
        <v>217</v>
      </c>
      <c r="F118" s="4">
        <f>ROUND(Source!AU99,O118)</f>
        <v>7234.39</v>
      </c>
      <c r="G118" s="4" t="s">
        <v>220</v>
      </c>
      <c r="H118" s="4" t="s">
        <v>221</v>
      </c>
      <c r="I118" s="4"/>
      <c r="J118" s="4"/>
      <c r="K118" s="4">
        <v>217</v>
      </c>
      <c r="L118" s="4">
        <v>18</v>
      </c>
      <c r="M118" s="4">
        <v>3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>
        <v>7234.39</v>
      </c>
      <c r="X118" s="4">
        <v>1</v>
      </c>
      <c r="Y118" s="4">
        <v>7234.39</v>
      </c>
      <c r="Z118" s="4"/>
      <c r="AA118" s="4"/>
      <c r="AB118" s="4"/>
    </row>
    <row r="119" spans="1:28" x14ac:dyDescent="0.2">
      <c r="A119" s="4">
        <v>50</v>
      </c>
      <c r="B119" s="4">
        <v>0</v>
      </c>
      <c r="C119" s="4">
        <v>0</v>
      </c>
      <c r="D119" s="4">
        <v>1</v>
      </c>
      <c r="E119" s="4">
        <v>230</v>
      </c>
      <c r="F119" s="4">
        <f>ROUND(Source!BA99,O119)</f>
        <v>0</v>
      </c>
      <c r="G119" s="4" t="s">
        <v>222</v>
      </c>
      <c r="H119" s="4" t="s">
        <v>223</v>
      </c>
      <c r="I119" s="4"/>
      <c r="J119" s="4"/>
      <c r="K119" s="4">
        <v>230</v>
      </c>
      <c r="L119" s="4">
        <v>19</v>
      </c>
      <c r="M119" s="4">
        <v>3</v>
      </c>
      <c r="N119" s="4" t="s">
        <v>3</v>
      </c>
      <c r="O119" s="4">
        <v>2</v>
      </c>
      <c r="P119" s="4"/>
      <c r="Q119" s="4"/>
      <c r="R119" s="4"/>
      <c r="S119" s="4"/>
      <c r="T119" s="4"/>
      <c r="U119" s="4"/>
      <c r="V119" s="4"/>
      <c r="W119" s="4">
        <v>0</v>
      </c>
      <c r="X119" s="4">
        <v>1</v>
      </c>
      <c r="Y119" s="4">
        <v>0</v>
      </c>
      <c r="Z119" s="4"/>
      <c r="AA119" s="4"/>
      <c r="AB119" s="4"/>
    </row>
    <row r="120" spans="1:28" x14ac:dyDescent="0.2">
      <c r="A120" s="4">
        <v>50</v>
      </c>
      <c r="B120" s="4">
        <v>0</v>
      </c>
      <c r="C120" s="4">
        <v>0</v>
      </c>
      <c r="D120" s="4">
        <v>1</v>
      </c>
      <c r="E120" s="4">
        <v>206</v>
      </c>
      <c r="F120" s="4">
        <f>ROUND(Source!T99,O120)</f>
        <v>0</v>
      </c>
      <c r="G120" s="4" t="s">
        <v>224</v>
      </c>
      <c r="H120" s="4" t="s">
        <v>225</v>
      </c>
      <c r="I120" s="4"/>
      <c r="J120" s="4"/>
      <c r="K120" s="4">
        <v>206</v>
      </c>
      <c r="L120" s="4">
        <v>20</v>
      </c>
      <c r="M120" s="4">
        <v>3</v>
      </c>
      <c r="N120" s="4" t="s">
        <v>3</v>
      </c>
      <c r="O120" s="4">
        <v>2</v>
      </c>
      <c r="P120" s="4"/>
      <c r="Q120" s="4"/>
      <c r="R120" s="4"/>
      <c r="S120" s="4"/>
      <c r="T120" s="4"/>
      <c r="U120" s="4"/>
      <c r="V120" s="4"/>
      <c r="W120" s="4">
        <v>0</v>
      </c>
      <c r="X120" s="4">
        <v>1</v>
      </c>
      <c r="Y120" s="4">
        <v>0</v>
      </c>
      <c r="Z120" s="4"/>
      <c r="AA120" s="4"/>
      <c r="AB120" s="4"/>
    </row>
    <row r="121" spans="1:28" x14ac:dyDescent="0.2">
      <c r="A121" s="4">
        <v>50</v>
      </c>
      <c r="B121" s="4">
        <v>0</v>
      </c>
      <c r="C121" s="4">
        <v>0</v>
      </c>
      <c r="D121" s="4">
        <v>1</v>
      </c>
      <c r="E121" s="4">
        <v>207</v>
      </c>
      <c r="F121" s="4">
        <f>Source!U99</f>
        <v>143.12730480000002</v>
      </c>
      <c r="G121" s="4" t="s">
        <v>226</v>
      </c>
      <c r="H121" s="4" t="s">
        <v>227</v>
      </c>
      <c r="I121" s="4"/>
      <c r="J121" s="4"/>
      <c r="K121" s="4">
        <v>207</v>
      </c>
      <c r="L121" s="4">
        <v>21</v>
      </c>
      <c r="M121" s="4">
        <v>3</v>
      </c>
      <c r="N121" s="4" t="s">
        <v>3</v>
      </c>
      <c r="O121" s="4">
        <v>-1</v>
      </c>
      <c r="P121" s="4"/>
      <c r="Q121" s="4"/>
      <c r="R121" s="4"/>
      <c r="S121" s="4"/>
      <c r="T121" s="4"/>
      <c r="U121" s="4"/>
      <c r="V121" s="4"/>
      <c r="W121" s="4">
        <v>143.12730480000002</v>
      </c>
      <c r="X121" s="4">
        <v>1</v>
      </c>
      <c r="Y121" s="4">
        <v>143.12730480000002</v>
      </c>
      <c r="Z121" s="4"/>
      <c r="AA121" s="4"/>
      <c r="AB121" s="4"/>
    </row>
    <row r="122" spans="1:28" x14ac:dyDescent="0.2">
      <c r="A122" s="4">
        <v>50</v>
      </c>
      <c r="B122" s="4">
        <v>0</v>
      </c>
      <c r="C122" s="4">
        <v>0</v>
      </c>
      <c r="D122" s="4">
        <v>1</v>
      </c>
      <c r="E122" s="4">
        <v>208</v>
      </c>
      <c r="F122" s="4">
        <f>Source!V99</f>
        <v>2.3238483999999997</v>
      </c>
      <c r="G122" s="4" t="s">
        <v>228</v>
      </c>
      <c r="H122" s="4" t="s">
        <v>229</v>
      </c>
      <c r="I122" s="4"/>
      <c r="J122" s="4"/>
      <c r="K122" s="4">
        <v>208</v>
      </c>
      <c r="L122" s="4">
        <v>22</v>
      </c>
      <c r="M122" s="4">
        <v>3</v>
      </c>
      <c r="N122" s="4" t="s">
        <v>3</v>
      </c>
      <c r="O122" s="4">
        <v>-1</v>
      </c>
      <c r="P122" s="4"/>
      <c r="Q122" s="4"/>
      <c r="R122" s="4"/>
      <c r="S122" s="4"/>
      <c r="T122" s="4"/>
      <c r="U122" s="4"/>
      <c r="V122" s="4"/>
      <c r="W122" s="4">
        <v>2.3238484000000001</v>
      </c>
      <c r="X122" s="4">
        <v>1</v>
      </c>
      <c r="Y122" s="4">
        <v>2.3238484000000001</v>
      </c>
      <c r="Z122" s="4"/>
      <c r="AA122" s="4"/>
      <c r="AB122" s="4"/>
    </row>
    <row r="123" spans="1:28" x14ac:dyDescent="0.2">
      <c r="A123" s="4">
        <v>50</v>
      </c>
      <c r="B123" s="4">
        <v>0</v>
      </c>
      <c r="C123" s="4">
        <v>0</v>
      </c>
      <c r="D123" s="4">
        <v>1</v>
      </c>
      <c r="E123" s="4">
        <v>209</v>
      </c>
      <c r="F123" s="4">
        <f>ROUND(Source!W99,O123)</f>
        <v>0</v>
      </c>
      <c r="G123" s="4" t="s">
        <v>230</v>
      </c>
      <c r="H123" s="4" t="s">
        <v>231</v>
      </c>
      <c r="I123" s="4"/>
      <c r="J123" s="4"/>
      <c r="K123" s="4">
        <v>209</v>
      </c>
      <c r="L123" s="4">
        <v>23</v>
      </c>
      <c r="M123" s="4">
        <v>3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>
        <v>0</v>
      </c>
      <c r="X123" s="4">
        <v>1</v>
      </c>
      <c r="Y123" s="4">
        <v>0</v>
      </c>
      <c r="Z123" s="4"/>
      <c r="AA123" s="4"/>
      <c r="AB123" s="4"/>
    </row>
    <row r="124" spans="1:28" x14ac:dyDescent="0.2">
      <c r="A124" s="4">
        <v>50</v>
      </c>
      <c r="B124" s="4">
        <v>0</v>
      </c>
      <c r="C124" s="4">
        <v>0</v>
      </c>
      <c r="D124" s="4">
        <v>1</v>
      </c>
      <c r="E124" s="4">
        <v>233</v>
      </c>
      <c r="F124" s="4">
        <f>ROUND(Source!BD99,O124)</f>
        <v>0</v>
      </c>
      <c r="G124" s="4" t="s">
        <v>232</v>
      </c>
      <c r="H124" s="4" t="s">
        <v>233</v>
      </c>
      <c r="I124" s="4"/>
      <c r="J124" s="4"/>
      <c r="K124" s="4">
        <v>233</v>
      </c>
      <c r="L124" s="4">
        <v>24</v>
      </c>
      <c r="M124" s="4">
        <v>3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>
        <v>0</v>
      </c>
      <c r="X124" s="4">
        <v>1</v>
      </c>
      <c r="Y124" s="4">
        <v>0</v>
      </c>
      <c r="Z124" s="4"/>
      <c r="AA124" s="4"/>
      <c r="AB124" s="4"/>
    </row>
    <row r="125" spans="1:28" x14ac:dyDescent="0.2">
      <c r="A125" s="4">
        <v>50</v>
      </c>
      <c r="B125" s="4">
        <v>0</v>
      </c>
      <c r="C125" s="4">
        <v>0</v>
      </c>
      <c r="D125" s="4">
        <v>1</v>
      </c>
      <c r="E125" s="4">
        <v>210</v>
      </c>
      <c r="F125" s="4">
        <f>ROUND(Source!X99,O125)</f>
        <v>39788.71</v>
      </c>
      <c r="G125" s="4" t="s">
        <v>234</v>
      </c>
      <c r="H125" s="4" t="s">
        <v>235</v>
      </c>
      <c r="I125" s="4"/>
      <c r="J125" s="4"/>
      <c r="K125" s="4">
        <v>210</v>
      </c>
      <c r="L125" s="4">
        <v>25</v>
      </c>
      <c r="M125" s="4">
        <v>3</v>
      </c>
      <c r="N125" s="4" t="s">
        <v>3</v>
      </c>
      <c r="O125" s="4">
        <v>2</v>
      </c>
      <c r="P125" s="4"/>
      <c r="Q125" s="4"/>
      <c r="R125" s="4"/>
      <c r="S125" s="4"/>
      <c r="T125" s="4"/>
      <c r="U125" s="4"/>
      <c r="V125" s="4"/>
      <c r="W125" s="4">
        <v>39788.71</v>
      </c>
      <c r="X125" s="4">
        <v>1</v>
      </c>
      <c r="Y125" s="4">
        <v>39788.71</v>
      </c>
      <c r="Z125" s="4"/>
      <c r="AA125" s="4"/>
      <c r="AB125" s="4"/>
    </row>
    <row r="126" spans="1:28" x14ac:dyDescent="0.2">
      <c r="A126" s="4">
        <v>50</v>
      </c>
      <c r="B126" s="4">
        <v>0</v>
      </c>
      <c r="C126" s="4">
        <v>0</v>
      </c>
      <c r="D126" s="4">
        <v>1</v>
      </c>
      <c r="E126" s="4">
        <v>211</v>
      </c>
      <c r="F126" s="4">
        <f>ROUND(Source!Y99,O126)</f>
        <v>20481.5</v>
      </c>
      <c r="G126" s="4" t="s">
        <v>236</v>
      </c>
      <c r="H126" s="4" t="s">
        <v>237</v>
      </c>
      <c r="I126" s="4"/>
      <c r="J126" s="4"/>
      <c r="K126" s="4">
        <v>211</v>
      </c>
      <c r="L126" s="4">
        <v>26</v>
      </c>
      <c r="M126" s="4">
        <v>3</v>
      </c>
      <c r="N126" s="4" t="s">
        <v>3</v>
      </c>
      <c r="O126" s="4">
        <v>2</v>
      </c>
      <c r="P126" s="4"/>
      <c r="Q126" s="4"/>
      <c r="R126" s="4"/>
      <c r="S126" s="4"/>
      <c r="T126" s="4"/>
      <c r="U126" s="4"/>
      <c r="V126" s="4"/>
      <c r="W126" s="4">
        <v>20481.5</v>
      </c>
      <c r="X126" s="4">
        <v>1</v>
      </c>
      <c r="Y126" s="4">
        <v>20481.5</v>
      </c>
      <c r="Z126" s="4"/>
      <c r="AA126" s="4"/>
      <c r="AB126" s="4"/>
    </row>
    <row r="127" spans="1:28" x14ac:dyDescent="0.2">
      <c r="A127" s="4">
        <v>50</v>
      </c>
      <c r="B127" s="4">
        <v>0</v>
      </c>
      <c r="C127" s="4">
        <v>0</v>
      </c>
      <c r="D127" s="4">
        <v>1</v>
      </c>
      <c r="E127" s="4">
        <v>224</v>
      </c>
      <c r="F127" s="4">
        <f>ROUND(Source!AR99,O127)</f>
        <v>688164.08</v>
      </c>
      <c r="G127" s="4" t="s">
        <v>238</v>
      </c>
      <c r="H127" s="4" t="s">
        <v>239</v>
      </c>
      <c r="I127" s="4"/>
      <c r="J127" s="4"/>
      <c r="K127" s="4">
        <v>224</v>
      </c>
      <c r="L127" s="4">
        <v>27</v>
      </c>
      <c r="M127" s="4">
        <v>3</v>
      </c>
      <c r="N127" s="4" t="s">
        <v>3</v>
      </c>
      <c r="O127" s="4">
        <v>2</v>
      </c>
      <c r="P127" s="4"/>
      <c r="Q127" s="4"/>
      <c r="R127" s="4"/>
      <c r="S127" s="4"/>
      <c r="T127" s="4"/>
      <c r="U127" s="4"/>
      <c r="V127" s="4"/>
      <c r="W127" s="4">
        <v>688164.08</v>
      </c>
      <c r="X127" s="4">
        <v>1</v>
      </c>
      <c r="Y127" s="4">
        <v>688164.08</v>
      </c>
      <c r="Z127" s="4"/>
      <c r="AA127" s="4"/>
      <c r="AB127" s="4"/>
    </row>
    <row r="128" spans="1:28" x14ac:dyDescent="0.2">
      <c r="A128" s="4">
        <v>50</v>
      </c>
      <c r="B128" s="4">
        <v>1</v>
      </c>
      <c r="C128" s="4">
        <v>0</v>
      </c>
      <c r="D128" s="4">
        <v>2</v>
      </c>
      <c r="E128" s="4">
        <v>0</v>
      </c>
      <c r="F128" s="4">
        <f>ROUND(F114,O128)</f>
        <v>41503.99</v>
      </c>
      <c r="G128" s="4" t="s">
        <v>240</v>
      </c>
      <c r="H128" s="4" t="s">
        <v>212</v>
      </c>
      <c r="I128" s="4"/>
      <c r="J128" s="4"/>
      <c r="K128" s="4">
        <v>212</v>
      </c>
      <c r="L128" s="4">
        <v>28</v>
      </c>
      <c r="M128" s="4">
        <v>0</v>
      </c>
      <c r="N128" s="4" t="s">
        <v>3</v>
      </c>
      <c r="O128" s="4">
        <v>2</v>
      </c>
      <c r="P128" s="4"/>
      <c r="Q128" s="4"/>
      <c r="R128" s="4"/>
      <c r="S128" s="4"/>
      <c r="T128" s="4"/>
      <c r="U128" s="4"/>
      <c r="V128" s="4"/>
      <c r="W128" s="4">
        <v>41503.99</v>
      </c>
      <c r="X128" s="4">
        <v>1</v>
      </c>
      <c r="Y128" s="4">
        <v>41503.99</v>
      </c>
      <c r="Z128" s="4"/>
      <c r="AA128" s="4"/>
      <c r="AB128" s="4"/>
    </row>
    <row r="129" spans="1:28" x14ac:dyDescent="0.2">
      <c r="A129" s="4">
        <v>50</v>
      </c>
      <c r="B129" s="4">
        <v>1</v>
      </c>
      <c r="C129" s="4">
        <v>0</v>
      </c>
      <c r="D129" s="4">
        <v>2</v>
      </c>
      <c r="E129" s="4">
        <v>0</v>
      </c>
      <c r="F129" s="4">
        <f>ROUND(F111,O129)</f>
        <v>8341.85</v>
      </c>
      <c r="G129" s="4" t="s">
        <v>241</v>
      </c>
      <c r="H129" s="4" t="s">
        <v>242</v>
      </c>
      <c r="I129" s="4"/>
      <c r="J129" s="4"/>
      <c r="K129" s="4">
        <v>212</v>
      </c>
      <c r="L129" s="4">
        <v>29</v>
      </c>
      <c r="M129" s="4">
        <v>0</v>
      </c>
      <c r="N129" s="4" t="s">
        <v>3</v>
      </c>
      <c r="O129" s="4">
        <v>2</v>
      </c>
      <c r="P129" s="4"/>
      <c r="Q129" s="4"/>
      <c r="R129" s="4"/>
      <c r="S129" s="4"/>
      <c r="T129" s="4"/>
      <c r="U129" s="4"/>
      <c r="V129" s="4"/>
      <c r="W129" s="4">
        <v>8341.85</v>
      </c>
      <c r="X129" s="4">
        <v>1</v>
      </c>
      <c r="Y129" s="4">
        <v>8341.85</v>
      </c>
      <c r="Z129" s="4"/>
      <c r="AA129" s="4"/>
      <c r="AB129" s="4"/>
    </row>
    <row r="130" spans="1:28" x14ac:dyDescent="0.2">
      <c r="A130" s="4">
        <v>50</v>
      </c>
      <c r="B130" s="4">
        <v>1</v>
      </c>
      <c r="C130" s="4">
        <v>0</v>
      </c>
      <c r="D130" s="4">
        <v>2</v>
      </c>
      <c r="E130" s="4">
        <v>0</v>
      </c>
      <c r="F130" s="4">
        <f>ROUND(F102,O130)</f>
        <v>578048.03</v>
      </c>
      <c r="G130" s="4" t="s">
        <v>243</v>
      </c>
      <c r="H130" s="4" t="s">
        <v>244</v>
      </c>
      <c r="I130" s="4"/>
      <c r="J130" s="4"/>
      <c r="K130" s="4">
        <v>212</v>
      </c>
      <c r="L130" s="4">
        <v>30</v>
      </c>
      <c r="M130" s="4">
        <v>0</v>
      </c>
      <c r="N130" s="4" t="s">
        <v>3</v>
      </c>
      <c r="O130" s="4">
        <v>2</v>
      </c>
      <c r="P130" s="4"/>
      <c r="Q130" s="4"/>
      <c r="R130" s="4"/>
      <c r="S130" s="4"/>
      <c r="T130" s="4"/>
      <c r="U130" s="4"/>
      <c r="V130" s="4"/>
      <c r="W130" s="4">
        <v>578048.03</v>
      </c>
      <c r="X130" s="4">
        <v>1</v>
      </c>
      <c r="Y130" s="4">
        <v>578048.03</v>
      </c>
      <c r="Z130" s="4"/>
      <c r="AA130" s="4"/>
      <c r="AB130" s="4"/>
    </row>
    <row r="131" spans="1:28" x14ac:dyDescent="0.2">
      <c r="A131" s="4">
        <v>50</v>
      </c>
      <c r="B131" s="4">
        <v>1</v>
      </c>
      <c r="C131" s="4">
        <v>0</v>
      </c>
      <c r="D131" s="4">
        <v>2</v>
      </c>
      <c r="E131" s="4">
        <v>0</v>
      </c>
      <c r="F131" s="4">
        <f>ROUND(F125,O131)</f>
        <v>39788.71</v>
      </c>
      <c r="G131" s="4" t="s">
        <v>245</v>
      </c>
      <c r="H131" s="4" t="s">
        <v>234</v>
      </c>
      <c r="I131" s="4"/>
      <c r="J131" s="4"/>
      <c r="K131" s="4">
        <v>212</v>
      </c>
      <c r="L131" s="4">
        <v>31</v>
      </c>
      <c r="M131" s="4">
        <v>0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>
        <v>39788.71</v>
      </c>
      <c r="X131" s="4">
        <v>1</v>
      </c>
      <c r="Y131" s="4">
        <v>39788.71</v>
      </c>
      <c r="Z131" s="4"/>
      <c r="AA131" s="4"/>
      <c r="AB131" s="4"/>
    </row>
    <row r="132" spans="1:28" x14ac:dyDescent="0.2">
      <c r="A132" s="4">
        <v>50</v>
      </c>
      <c r="B132" s="4">
        <v>1</v>
      </c>
      <c r="C132" s="4">
        <v>0</v>
      </c>
      <c r="D132" s="4">
        <v>2</v>
      </c>
      <c r="E132" s="4">
        <v>0</v>
      </c>
      <c r="F132" s="4">
        <f>ROUND(F126,O132)</f>
        <v>20481.5</v>
      </c>
      <c r="G132" s="4" t="s">
        <v>246</v>
      </c>
      <c r="H132" s="4" t="s">
        <v>247</v>
      </c>
      <c r="I132" s="4"/>
      <c r="J132" s="4"/>
      <c r="K132" s="4">
        <v>212</v>
      </c>
      <c r="L132" s="4">
        <v>32</v>
      </c>
      <c r="M132" s="4">
        <v>0</v>
      </c>
      <c r="N132" s="4" t="s">
        <v>3</v>
      </c>
      <c r="O132" s="4">
        <v>2</v>
      </c>
      <c r="P132" s="4"/>
      <c r="Q132" s="4"/>
      <c r="R132" s="4"/>
      <c r="S132" s="4"/>
      <c r="T132" s="4"/>
      <c r="U132" s="4"/>
      <c r="V132" s="4"/>
      <c r="W132" s="4">
        <v>20481.5</v>
      </c>
      <c r="X132" s="4">
        <v>1</v>
      </c>
      <c r="Y132" s="4">
        <v>20481.5</v>
      </c>
      <c r="Z132" s="4"/>
      <c r="AA132" s="4"/>
      <c r="AB132" s="4"/>
    </row>
    <row r="133" spans="1:28" x14ac:dyDescent="0.2">
      <c r="A133" s="4">
        <v>50</v>
      </c>
      <c r="B133" s="4">
        <v>1</v>
      </c>
      <c r="C133" s="4">
        <v>0</v>
      </c>
      <c r="D133" s="4">
        <v>2</v>
      </c>
      <c r="E133" s="4">
        <v>0</v>
      </c>
      <c r="F133" s="4">
        <f>ROUND(F128+F129+F130+F131+F132,O133)</f>
        <v>688164.08</v>
      </c>
      <c r="G133" s="4" t="s">
        <v>248</v>
      </c>
      <c r="H133" s="4" t="s">
        <v>238</v>
      </c>
      <c r="I133" s="4"/>
      <c r="J133" s="4"/>
      <c r="K133" s="4">
        <v>212</v>
      </c>
      <c r="L133" s="4">
        <v>33</v>
      </c>
      <c r="M133" s="4">
        <v>0</v>
      </c>
      <c r="N133" s="4" t="s">
        <v>3</v>
      </c>
      <c r="O133" s="4">
        <v>2</v>
      </c>
      <c r="P133" s="4"/>
      <c r="Q133" s="4"/>
      <c r="R133" s="4"/>
      <c r="S133" s="4"/>
      <c r="T133" s="4"/>
      <c r="U133" s="4"/>
      <c r="V133" s="4"/>
      <c r="W133" s="4">
        <v>688164.08</v>
      </c>
      <c r="X133" s="4">
        <v>1</v>
      </c>
      <c r="Y133" s="4">
        <v>688164.08</v>
      </c>
      <c r="Z133" s="4"/>
      <c r="AA133" s="4"/>
      <c r="AB133" s="4"/>
    </row>
    <row r="134" spans="1:28" x14ac:dyDescent="0.2">
      <c r="A134" s="4">
        <v>50</v>
      </c>
      <c r="B134" s="4">
        <v>1</v>
      </c>
      <c r="C134" s="4">
        <v>0</v>
      </c>
      <c r="D134" s="4">
        <v>2</v>
      </c>
      <c r="E134" s="4">
        <v>0</v>
      </c>
      <c r="F134" s="4">
        <f>ROUND(F133*0.2,O134)</f>
        <v>137632.82</v>
      </c>
      <c r="G134" s="4" t="s">
        <v>249</v>
      </c>
      <c r="H134" s="4" t="s">
        <v>250</v>
      </c>
      <c r="I134" s="4"/>
      <c r="J134" s="4"/>
      <c r="K134" s="4">
        <v>212</v>
      </c>
      <c r="L134" s="4">
        <v>34</v>
      </c>
      <c r="M134" s="4">
        <v>0</v>
      </c>
      <c r="N134" s="4" t="s">
        <v>3</v>
      </c>
      <c r="O134" s="4">
        <v>2</v>
      </c>
      <c r="P134" s="4"/>
      <c r="Q134" s="4"/>
      <c r="R134" s="4"/>
      <c r="S134" s="4"/>
      <c r="T134" s="4"/>
      <c r="U134" s="4"/>
      <c r="V134" s="4"/>
      <c r="W134" s="4">
        <v>137632.82</v>
      </c>
      <c r="X134" s="4">
        <v>1</v>
      </c>
      <c r="Y134" s="4">
        <v>137632.82</v>
      </c>
      <c r="Z134" s="4"/>
      <c r="AA134" s="4"/>
      <c r="AB134" s="4"/>
    </row>
    <row r="135" spans="1:28" x14ac:dyDescent="0.2">
      <c r="A135" s="4">
        <v>50</v>
      </c>
      <c r="B135" s="4">
        <v>1</v>
      </c>
      <c r="C135" s="4">
        <v>0</v>
      </c>
      <c r="D135" s="4">
        <v>2</v>
      </c>
      <c r="E135" s="4">
        <v>213</v>
      </c>
      <c r="F135" s="4">
        <f>ROUND(F133+F134,O135)</f>
        <v>825796.9</v>
      </c>
      <c r="G135" s="4" t="s">
        <v>251</v>
      </c>
      <c r="H135" s="4" t="s">
        <v>252</v>
      </c>
      <c r="I135" s="4"/>
      <c r="J135" s="4"/>
      <c r="K135" s="4">
        <v>212</v>
      </c>
      <c r="L135" s="4">
        <v>35</v>
      </c>
      <c r="M135" s="4">
        <v>0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>
        <v>825796.9</v>
      </c>
      <c r="X135" s="4">
        <v>1</v>
      </c>
      <c r="Y135" s="4">
        <v>825796.9</v>
      </c>
      <c r="Z135" s="4"/>
      <c r="AA135" s="4"/>
      <c r="AB135" s="4"/>
    </row>
    <row r="137" spans="1:28" x14ac:dyDescent="0.2">
      <c r="A137">
        <v>71</v>
      </c>
      <c r="B137">
        <v>1</v>
      </c>
      <c r="D137">
        <v>200001</v>
      </c>
      <c r="E137">
        <v>83655328</v>
      </c>
      <c r="F137" t="s">
        <v>253</v>
      </c>
      <c r="G137" t="s">
        <v>254</v>
      </c>
      <c r="H137">
        <v>80</v>
      </c>
      <c r="I137">
        <v>20</v>
      </c>
    </row>
    <row r="140" spans="1:28" x14ac:dyDescent="0.2">
      <c r="A140">
        <v>70</v>
      </c>
      <c r="B140">
        <v>1</v>
      </c>
      <c r="D140">
        <v>1</v>
      </c>
      <c r="E140" t="s">
        <v>255</v>
      </c>
      <c r="F140" t="s">
        <v>256</v>
      </c>
      <c r="G140">
        <v>1</v>
      </c>
      <c r="H140">
        <v>0</v>
      </c>
      <c r="I140" t="s">
        <v>3</v>
      </c>
      <c r="J140">
        <v>1</v>
      </c>
      <c r="K140">
        <v>0</v>
      </c>
      <c r="L140" t="s">
        <v>3</v>
      </c>
      <c r="M140" t="s">
        <v>3</v>
      </c>
      <c r="N140">
        <v>0</v>
      </c>
      <c r="P140" t="s">
        <v>257</v>
      </c>
    </row>
    <row r="141" spans="1:28" x14ac:dyDescent="0.2">
      <c r="A141">
        <v>70</v>
      </c>
      <c r="B141">
        <v>1</v>
      </c>
      <c r="D141">
        <v>2</v>
      </c>
      <c r="E141" t="s">
        <v>258</v>
      </c>
      <c r="F141" t="s">
        <v>259</v>
      </c>
      <c r="G141">
        <v>0</v>
      </c>
      <c r="H141">
        <v>0</v>
      </c>
      <c r="I141" t="s">
        <v>3</v>
      </c>
      <c r="J141">
        <v>1</v>
      </c>
      <c r="K141">
        <v>0</v>
      </c>
      <c r="L141" t="s">
        <v>3</v>
      </c>
      <c r="M141" t="s">
        <v>3</v>
      </c>
      <c r="N141">
        <v>0</v>
      </c>
      <c r="P141" t="s">
        <v>260</v>
      </c>
    </row>
    <row r="142" spans="1:28" x14ac:dyDescent="0.2">
      <c r="A142">
        <v>70</v>
      </c>
      <c r="B142">
        <v>1</v>
      </c>
      <c r="D142">
        <v>3</v>
      </c>
      <c r="E142" t="s">
        <v>261</v>
      </c>
      <c r="F142" t="s">
        <v>262</v>
      </c>
      <c r="G142">
        <v>0</v>
      </c>
      <c r="H142">
        <v>0</v>
      </c>
      <c r="I142" t="s">
        <v>3</v>
      </c>
      <c r="J142">
        <v>1</v>
      </c>
      <c r="K142">
        <v>0</v>
      </c>
      <c r="L142" t="s">
        <v>3</v>
      </c>
      <c r="M142" t="s">
        <v>3</v>
      </c>
      <c r="N142">
        <v>0</v>
      </c>
      <c r="P142" t="s">
        <v>263</v>
      </c>
    </row>
    <row r="143" spans="1:28" x14ac:dyDescent="0.2">
      <c r="A143">
        <v>70</v>
      </c>
      <c r="B143">
        <v>1</v>
      </c>
      <c r="D143">
        <v>4</v>
      </c>
      <c r="E143" t="s">
        <v>264</v>
      </c>
      <c r="F143" t="s">
        <v>265</v>
      </c>
      <c r="G143">
        <v>1</v>
      </c>
      <c r="H143">
        <v>0</v>
      </c>
      <c r="I143" t="s">
        <v>3</v>
      </c>
      <c r="J143">
        <v>2</v>
      </c>
      <c r="K143">
        <v>0</v>
      </c>
      <c r="L143" t="s">
        <v>3</v>
      </c>
      <c r="M143" t="s">
        <v>3</v>
      </c>
      <c r="N143">
        <v>0</v>
      </c>
      <c r="P143" t="s">
        <v>3</v>
      </c>
    </row>
    <row r="144" spans="1:28" x14ac:dyDescent="0.2">
      <c r="A144">
        <v>70</v>
      </c>
      <c r="B144">
        <v>1</v>
      </c>
      <c r="D144">
        <v>5</v>
      </c>
      <c r="E144" t="s">
        <v>266</v>
      </c>
      <c r="F144" t="s">
        <v>267</v>
      </c>
      <c r="G144">
        <v>0</v>
      </c>
      <c r="H144">
        <v>0</v>
      </c>
      <c r="I144" t="s">
        <v>3</v>
      </c>
      <c r="J144">
        <v>2</v>
      </c>
      <c r="K144">
        <v>0</v>
      </c>
      <c r="L144" t="s">
        <v>3</v>
      </c>
      <c r="M144" t="s">
        <v>3</v>
      </c>
      <c r="N144">
        <v>0</v>
      </c>
      <c r="P144" t="s">
        <v>3</v>
      </c>
    </row>
    <row r="145" spans="1:16" x14ac:dyDescent="0.2">
      <c r="A145">
        <v>70</v>
      </c>
      <c r="B145">
        <v>1</v>
      </c>
      <c r="D145">
        <v>6</v>
      </c>
      <c r="E145" t="s">
        <v>268</v>
      </c>
      <c r="F145" t="s">
        <v>269</v>
      </c>
      <c r="G145">
        <v>0</v>
      </c>
      <c r="H145">
        <v>0</v>
      </c>
      <c r="I145" t="s">
        <v>3</v>
      </c>
      <c r="J145">
        <v>2</v>
      </c>
      <c r="K145">
        <v>0</v>
      </c>
      <c r="L145" t="s">
        <v>3</v>
      </c>
      <c r="M145" t="s">
        <v>3</v>
      </c>
      <c r="N145">
        <v>0</v>
      </c>
      <c r="P145" t="s">
        <v>3</v>
      </c>
    </row>
    <row r="146" spans="1:16" x14ac:dyDescent="0.2">
      <c r="A146">
        <v>70</v>
      </c>
      <c r="B146">
        <v>1</v>
      </c>
      <c r="D146">
        <v>7</v>
      </c>
      <c r="E146" t="s">
        <v>270</v>
      </c>
      <c r="F146" t="s">
        <v>271</v>
      </c>
      <c r="G146">
        <v>0</v>
      </c>
      <c r="H146">
        <v>0</v>
      </c>
      <c r="I146" t="s">
        <v>272</v>
      </c>
      <c r="J146">
        <v>0</v>
      </c>
      <c r="K146">
        <v>0</v>
      </c>
      <c r="L146" t="s">
        <v>3</v>
      </c>
      <c r="M146" t="s">
        <v>3</v>
      </c>
      <c r="N146">
        <v>0</v>
      </c>
      <c r="P146" t="s">
        <v>273</v>
      </c>
    </row>
    <row r="147" spans="1:16" x14ac:dyDescent="0.2">
      <c r="A147">
        <v>70</v>
      </c>
      <c r="B147">
        <v>1</v>
      </c>
      <c r="D147">
        <v>8</v>
      </c>
      <c r="E147" t="s">
        <v>274</v>
      </c>
      <c r="F147" t="s">
        <v>275</v>
      </c>
      <c r="G147">
        <v>1</v>
      </c>
      <c r="H147">
        <v>0</v>
      </c>
      <c r="I147" t="s">
        <v>3</v>
      </c>
      <c r="J147">
        <v>5</v>
      </c>
      <c r="K147">
        <v>0</v>
      </c>
      <c r="L147" t="s">
        <v>3</v>
      </c>
      <c r="M147" t="s">
        <v>3</v>
      </c>
      <c r="N147">
        <v>0</v>
      </c>
      <c r="P147" t="s">
        <v>3</v>
      </c>
    </row>
    <row r="148" spans="1:16" x14ac:dyDescent="0.2">
      <c r="A148">
        <v>70</v>
      </c>
      <c r="B148">
        <v>1</v>
      </c>
      <c r="D148">
        <v>9</v>
      </c>
      <c r="E148" t="s">
        <v>276</v>
      </c>
      <c r="F148" t="s">
        <v>277</v>
      </c>
      <c r="G148">
        <v>0</v>
      </c>
      <c r="H148">
        <v>0</v>
      </c>
      <c r="I148" t="s">
        <v>3</v>
      </c>
      <c r="J148">
        <v>5</v>
      </c>
      <c r="K148">
        <v>0</v>
      </c>
      <c r="L148" t="s">
        <v>3</v>
      </c>
      <c r="M148" t="s">
        <v>3</v>
      </c>
      <c r="N148">
        <v>0</v>
      </c>
      <c r="P148" t="s">
        <v>278</v>
      </c>
    </row>
    <row r="149" spans="1:16" x14ac:dyDescent="0.2">
      <c r="A149">
        <v>70</v>
      </c>
      <c r="B149">
        <v>1</v>
      </c>
      <c r="D149">
        <v>10</v>
      </c>
      <c r="E149" t="s">
        <v>279</v>
      </c>
      <c r="F149" t="s">
        <v>280</v>
      </c>
      <c r="G149">
        <v>0</v>
      </c>
      <c r="H149">
        <v>0</v>
      </c>
      <c r="I149" t="s">
        <v>281</v>
      </c>
      <c r="J149">
        <v>5</v>
      </c>
      <c r="K149">
        <v>0</v>
      </c>
      <c r="L149" t="s">
        <v>3</v>
      </c>
      <c r="M149" t="s">
        <v>3</v>
      </c>
      <c r="N149">
        <v>0</v>
      </c>
      <c r="P149" t="s">
        <v>282</v>
      </c>
    </row>
    <row r="150" spans="1:16" x14ac:dyDescent="0.2">
      <c r="A150">
        <v>70</v>
      </c>
      <c r="B150">
        <v>1</v>
      </c>
      <c r="D150">
        <v>11</v>
      </c>
      <c r="E150" t="s">
        <v>283</v>
      </c>
      <c r="F150" t="s">
        <v>284</v>
      </c>
      <c r="G150">
        <v>0</v>
      </c>
      <c r="H150">
        <v>0</v>
      </c>
      <c r="I150" t="s">
        <v>285</v>
      </c>
      <c r="J150">
        <v>0</v>
      </c>
      <c r="K150">
        <v>0</v>
      </c>
      <c r="L150" t="s">
        <v>3</v>
      </c>
      <c r="M150" t="s">
        <v>3</v>
      </c>
      <c r="N150">
        <v>0</v>
      </c>
      <c r="P150" t="s">
        <v>286</v>
      </c>
    </row>
    <row r="151" spans="1:16" x14ac:dyDescent="0.2">
      <c r="A151">
        <v>70</v>
      </c>
      <c r="B151">
        <v>1</v>
      </c>
      <c r="D151">
        <v>12</v>
      </c>
      <c r="E151" t="s">
        <v>287</v>
      </c>
      <c r="F151" t="s">
        <v>288</v>
      </c>
      <c r="G151">
        <v>0</v>
      </c>
      <c r="H151">
        <v>0</v>
      </c>
      <c r="I151" t="s">
        <v>289</v>
      </c>
      <c r="J151">
        <v>0</v>
      </c>
      <c r="K151">
        <v>0</v>
      </c>
      <c r="L151" t="s">
        <v>3</v>
      </c>
      <c r="M151" t="s">
        <v>3</v>
      </c>
      <c r="N151">
        <v>0</v>
      </c>
      <c r="P151" t="s">
        <v>290</v>
      </c>
    </row>
    <row r="152" spans="1:16" x14ac:dyDescent="0.2">
      <c r="A152">
        <v>70</v>
      </c>
      <c r="B152">
        <v>1</v>
      </c>
      <c r="D152">
        <v>13</v>
      </c>
      <c r="E152" t="s">
        <v>291</v>
      </c>
      <c r="F152" t="s">
        <v>292</v>
      </c>
      <c r="G152">
        <v>0</v>
      </c>
      <c r="H152">
        <v>0</v>
      </c>
      <c r="I152" t="s">
        <v>293</v>
      </c>
      <c r="J152">
        <v>0</v>
      </c>
      <c r="K152">
        <v>0</v>
      </c>
      <c r="L152" t="s">
        <v>3</v>
      </c>
      <c r="M152" t="s">
        <v>3</v>
      </c>
      <c r="N152">
        <v>0</v>
      </c>
      <c r="P152" t="s">
        <v>294</v>
      </c>
    </row>
    <row r="153" spans="1:16" x14ac:dyDescent="0.2">
      <c r="A153">
        <v>70</v>
      </c>
      <c r="B153">
        <v>1</v>
      </c>
      <c r="D153">
        <v>14</v>
      </c>
      <c r="E153" t="s">
        <v>295</v>
      </c>
      <c r="F153" t="s">
        <v>296</v>
      </c>
      <c r="G153">
        <v>0</v>
      </c>
      <c r="H153">
        <v>0</v>
      </c>
      <c r="I153" t="s">
        <v>3</v>
      </c>
      <c r="J153">
        <v>0</v>
      </c>
      <c r="K153">
        <v>0</v>
      </c>
      <c r="L153" t="s">
        <v>3</v>
      </c>
      <c r="M153" t="s">
        <v>3</v>
      </c>
      <c r="N153">
        <v>0</v>
      </c>
      <c r="P153" t="s">
        <v>297</v>
      </c>
    </row>
    <row r="154" spans="1:16" x14ac:dyDescent="0.2">
      <c r="A154">
        <v>70</v>
      </c>
      <c r="B154">
        <v>1</v>
      </c>
      <c r="D154">
        <v>15</v>
      </c>
      <c r="E154" t="s">
        <v>298</v>
      </c>
      <c r="F154" t="s">
        <v>299</v>
      </c>
      <c r="G154">
        <v>0</v>
      </c>
      <c r="H154">
        <v>0</v>
      </c>
      <c r="I154" t="s">
        <v>3</v>
      </c>
      <c r="J154">
        <v>3</v>
      </c>
      <c r="K154">
        <v>0</v>
      </c>
      <c r="L154" t="s">
        <v>3</v>
      </c>
      <c r="M154" t="s">
        <v>3</v>
      </c>
      <c r="N154">
        <v>0</v>
      </c>
      <c r="P154" t="s">
        <v>3</v>
      </c>
    </row>
    <row r="155" spans="1:16" x14ac:dyDescent="0.2">
      <c r="A155">
        <v>70</v>
      </c>
      <c r="B155">
        <v>1</v>
      </c>
      <c r="D155">
        <v>16</v>
      </c>
      <c r="E155" t="s">
        <v>300</v>
      </c>
      <c r="F155" t="s">
        <v>301</v>
      </c>
      <c r="G155">
        <v>1</v>
      </c>
      <c r="H155">
        <v>0</v>
      </c>
      <c r="I155" t="s">
        <v>3</v>
      </c>
      <c r="J155">
        <v>3</v>
      </c>
      <c r="K155">
        <v>0</v>
      </c>
      <c r="L155" t="s">
        <v>3</v>
      </c>
      <c r="M155" t="s">
        <v>3</v>
      </c>
      <c r="N155">
        <v>0</v>
      </c>
      <c r="P155" t="s">
        <v>3</v>
      </c>
    </row>
    <row r="156" spans="1:16" x14ac:dyDescent="0.2">
      <c r="A156">
        <v>70</v>
      </c>
      <c r="B156">
        <v>1</v>
      </c>
      <c r="D156">
        <v>1</v>
      </c>
      <c r="E156" t="s">
        <v>302</v>
      </c>
      <c r="F156" t="s">
        <v>303</v>
      </c>
      <c r="G156">
        <v>0.9</v>
      </c>
      <c r="H156">
        <v>1</v>
      </c>
      <c r="I156" t="s">
        <v>304</v>
      </c>
      <c r="J156">
        <v>0</v>
      </c>
      <c r="K156">
        <v>0</v>
      </c>
      <c r="L156" t="s">
        <v>3</v>
      </c>
      <c r="M156" t="s">
        <v>3</v>
      </c>
      <c r="N156">
        <v>0</v>
      </c>
      <c r="P156" t="s">
        <v>305</v>
      </c>
    </row>
    <row r="157" spans="1:16" x14ac:dyDescent="0.2">
      <c r="A157">
        <v>70</v>
      </c>
      <c r="B157">
        <v>1</v>
      </c>
      <c r="D157">
        <v>2</v>
      </c>
      <c r="E157" t="s">
        <v>306</v>
      </c>
      <c r="F157" t="s">
        <v>307</v>
      </c>
      <c r="G157">
        <v>0.85</v>
      </c>
      <c r="H157">
        <v>1</v>
      </c>
      <c r="I157" t="s">
        <v>308</v>
      </c>
      <c r="J157">
        <v>0</v>
      </c>
      <c r="K157">
        <v>0</v>
      </c>
      <c r="L157" t="s">
        <v>3</v>
      </c>
      <c r="M157" t="s">
        <v>3</v>
      </c>
      <c r="N157">
        <v>0</v>
      </c>
      <c r="P157" t="s">
        <v>309</v>
      </c>
    </row>
    <row r="158" spans="1:16" x14ac:dyDescent="0.2">
      <c r="A158">
        <v>70</v>
      </c>
      <c r="B158">
        <v>1</v>
      </c>
      <c r="D158">
        <v>3</v>
      </c>
      <c r="E158" t="s">
        <v>310</v>
      </c>
      <c r="F158" t="s">
        <v>311</v>
      </c>
      <c r="G158">
        <v>1.03</v>
      </c>
      <c r="H158">
        <v>0</v>
      </c>
      <c r="I158" t="s">
        <v>3</v>
      </c>
      <c r="J158">
        <v>0</v>
      </c>
      <c r="K158">
        <v>0</v>
      </c>
      <c r="L158" t="s">
        <v>3</v>
      </c>
      <c r="M158" t="s">
        <v>3</v>
      </c>
      <c r="N158">
        <v>0</v>
      </c>
      <c r="P158" t="s">
        <v>312</v>
      </c>
    </row>
    <row r="159" spans="1:16" x14ac:dyDescent="0.2">
      <c r="A159">
        <v>70</v>
      </c>
      <c r="B159">
        <v>1</v>
      </c>
      <c r="D159">
        <v>4</v>
      </c>
      <c r="E159" t="s">
        <v>313</v>
      </c>
      <c r="F159" t="s">
        <v>314</v>
      </c>
      <c r="G159">
        <v>1.1499999999999999</v>
      </c>
      <c r="H159">
        <v>0</v>
      </c>
      <c r="I159" t="s">
        <v>3</v>
      </c>
      <c r="J159">
        <v>0</v>
      </c>
      <c r="K159">
        <v>0</v>
      </c>
      <c r="L159" t="s">
        <v>3</v>
      </c>
      <c r="M159" t="s">
        <v>3</v>
      </c>
      <c r="N159">
        <v>0</v>
      </c>
      <c r="P159" t="s">
        <v>315</v>
      </c>
    </row>
    <row r="160" spans="1:16" x14ac:dyDescent="0.2">
      <c r="A160">
        <v>70</v>
      </c>
      <c r="B160">
        <v>1</v>
      </c>
      <c r="D160">
        <v>5</v>
      </c>
      <c r="E160" t="s">
        <v>316</v>
      </c>
      <c r="F160" t="s">
        <v>317</v>
      </c>
      <c r="G160">
        <v>7</v>
      </c>
      <c r="H160">
        <v>0</v>
      </c>
      <c r="I160" t="s">
        <v>3</v>
      </c>
      <c r="J160">
        <v>0</v>
      </c>
      <c r="K160">
        <v>0</v>
      </c>
      <c r="L160" t="s">
        <v>3</v>
      </c>
      <c r="M160" t="s">
        <v>3</v>
      </c>
      <c r="N160">
        <v>0</v>
      </c>
      <c r="P160" t="s">
        <v>3</v>
      </c>
    </row>
    <row r="161" spans="1:50" x14ac:dyDescent="0.2">
      <c r="A161">
        <v>70</v>
      </c>
      <c r="B161">
        <v>1</v>
      </c>
      <c r="D161">
        <v>6</v>
      </c>
      <c r="E161" t="s">
        <v>318</v>
      </c>
      <c r="F161" t="s">
        <v>3</v>
      </c>
      <c r="G161">
        <v>2</v>
      </c>
      <c r="H161">
        <v>0</v>
      </c>
      <c r="I161" t="s">
        <v>3</v>
      </c>
      <c r="J161">
        <v>0</v>
      </c>
      <c r="K161">
        <v>0</v>
      </c>
      <c r="L161" t="s">
        <v>3</v>
      </c>
      <c r="M161" t="s">
        <v>3</v>
      </c>
      <c r="N161">
        <v>0</v>
      </c>
      <c r="P161" t="s">
        <v>3</v>
      </c>
    </row>
    <row r="163" spans="1:50" x14ac:dyDescent="0.2">
      <c r="A163">
        <v>-1</v>
      </c>
    </row>
    <row r="165" spans="1:50" x14ac:dyDescent="0.2">
      <c r="A165" s="3">
        <v>75</v>
      </c>
      <c r="B165" s="3" t="s">
        <v>319</v>
      </c>
      <c r="C165" s="3">
        <v>2024</v>
      </c>
      <c r="D165" s="3">
        <v>0</v>
      </c>
      <c r="E165" s="3">
        <v>3</v>
      </c>
      <c r="F165" s="3"/>
      <c r="G165" s="3">
        <v>0</v>
      </c>
      <c r="H165" s="3">
        <v>1</v>
      </c>
      <c r="I165" s="3">
        <v>0</v>
      </c>
      <c r="J165" s="3">
        <v>3</v>
      </c>
      <c r="K165" s="3">
        <v>0</v>
      </c>
      <c r="L165" s="3">
        <v>0</v>
      </c>
      <c r="M165" s="3">
        <v>0</v>
      </c>
      <c r="N165" s="3">
        <v>92408302</v>
      </c>
      <c r="O165" s="3">
        <v>1</v>
      </c>
    </row>
    <row r="166" spans="1:50" x14ac:dyDescent="0.2">
      <c r="A166" s="5">
        <v>1</v>
      </c>
      <c r="B166" s="5" t="s">
        <v>320</v>
      </c>
      <c r="C166" s="5" t="s">
        <v>321</v>
      </c>
      <c r="D166" s="5">
        <v>2024</v>
      </c>
      <c r="E166" s="5">
        <v>3</v>
      </c>
      <c r="F166" s="5">
        <v>1</v>
      </c>
      <c r="G166" s="5">
        <v>1</v>
      </c>
      <c r="H166" s="5">
        <v>0</v>
      </c>
      <c r="I166" s="5">
        <v>2</v>
      </c>
      <c r="J166" s="5">
        <v>1</v>
      </c>
      <c r="K166" s="5">
        <v>1</v>
      </c>
      <c r="L166" s="5">
        <v>1</v>
      </c>
      <c r="M166" s="5">
        <v>1</v>
      </c>
      <c r="N166" s="5">
        <v>1</v>
      </c>
      <c r="O166" s="5">
        <v>1</v>
      </c>
      <c r="P166" s="5">
        <v>1</v>
      </c>
      <c r="Q166" s="5">
        <v>1</v>
      </c>
      <c r="R166" s="5" t="s">
        <v>3</v>
      </c>
      <c r="S166" s="5" t="s">
        <v>3</v>
      </c>
      <c r="T166" s="5" t="s">
        <v>3</v>
      </c>
      <c r="U166" s="5" t="s">
        <v>3</v>
      </c>
      <c r="V166" s="5" t="s">
        <v>3</v>
      </c>
      <c r="W166" s="5" t="s">
        <v>3</v>
      </c>
      <c r="X166" s="5" t="s">
        <v>3</v>
      </c>
      <c r="Y166" s="5" t="s">
        <v>3</v>
      </c>
      <c r="Z166" s="5" t="s">
        <v>3</v>
      </c>
      <c r="AA166" s="5" t="s">
        <v>3</v>
      </c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>
        <v>92408303</v>
      </c>
      <c r="AO166" s="5"/>
      <c r="AP166" s="5"/>
      <c r="AQ166" s="5"/>
      <c r="AR166" s="5"/>
      <c r="AS166" s="5"/>
      <c r="AT166" s="5"/>
      <c r="AU166" s="5"/>
      <c r="AV166" s="5"/>
      <c r="AW166" s="5"/>
      <c r="AX166" s="5"/>
    </row>
    <row r="170" spans="1:50" x14ac:dyDescent="0.2">
      <c r="A170">
        <v>65</v>
      </c>
      <c r="C170">
        <v>1</v>
      </c>
      <c r="D170">
        <v>0</v>
      </c>
      <c r="E170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60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322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73111</v>
      </c>
      <c r="M1">
        <v>10</v>
      </c>
      <c r="N1">
        <v>11</v>
      </c>
      <c r="O1">
        <v>8</v>
      </c>
      <c r="P1">
        <v>0</v>
      </c>
      <c r="Q1">
        <v>0</v>
      </c>
    </row>
    <row r="12" spans="1:133" x14ac:dyDescent="0.2">
      <c r="A12" s="1">
        <v>1</v>
      </c>
      <c r="B12" s="1">
        <v>59</v>
      </c>
      <c r="C12" s="1">
        <v>0</v>
      </c>
      <c r="D12" s="1"/>
      <c r="E12" s="1">
        <v>0</v>
      </c>
      <c r="F12" s="1" t="s">
        <v>3</v>
      </c>
      <c r="G12" s="1" t="s">
        <v>4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3</v>
      </c>
      <c r="N12" s="1"/>
      <c r="O12" s="1">
        <v>0</v>
      </c>
      <c r="P12" s="1">
        <v>0</v>
      </c>
      <c r="Q12" s="1">
        <v>2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5</v>
      </c>
      <c r="BI12" s="1" t="s">
        <v>6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7</v>
      </c>
      <c r="BZ12" s="1" t="s">
        <v>8</v>
      </c>
      <c r="CA12" s="1" t="s">
        <v>7</v>
      </c>
      <c r="CB12" s="1" t="s">
        <v>7</v>
      </c>
      <c r="CC12" s="1" t="s">
        <v>7</v>
      </c>
      <c r="CD12" s="1" t="s">
        <v>7</v>
      </c>
      <c r="CE12" s="1" t="s">
        <v>9</v>
      </c>
      <c r="CF12" s="1">
        <v>0</v>
      </c>
      <c r="CG12" s="1">
        <v>0</v>
      </c>
      <c r="CH12" s="1">
        <v>18882568</v>
      </c>
      <c r="CI12" s="1" t="s">
        <v>3</v>
      </c>
      <c r="CJ12" s="1" t="s">
        <v>3</v>
      </c>
      <c r="CK12" s="1">
        <v>0</v>
      </c>
      <c r="CL12" s="1"/>
      <c r="CM12" s="1"/>
      <c r="CN12" s="1"/>
      <c r="CO12" s="1"/>
      <c r="CP12" s="1"/>
      <c r="CQ12" s="1" t="s">
        <v>10</v>
      </c>
      <c r="CR12" s="1" t="s">
        <v>11</v>
      </c>
      <c r="CS12" s="1">
        <v>42130</v>
      </c>
      <c r="CT12" s="1">
        <v>246</v>
      </c>
      <c r="CU12" s="1"/>
      <c r="CV12" s="1"/>
      <c r="CW12" s="1"/>
      <c r="CX12" s="1"/>
      <c r="CY12" s="1">
        <v>0</v>
      </c>
      <c r="CZ12" s="1" t="s">
        <v>3</v>
      </c>
      <c r="DA12" s="1" t="s">
        <v>3</v>
      </c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1</v>
      </c>
      <c r="C14" s="1">
        <v>0</v>
      </c>
      <c r="D14" s="1">
        <v>92408302</v>
      </c>
      <c r="E14" s="1">
        <v>0</v>
      </c>
      <c r="F14" s="1">
        <v>2</v>
      </c>
      <c r="G14" s="1">
        <v>1</v>
      </c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6">
        <v>3</v>
      </c>
      <c r="B16" s="6">
        <v>0</v>
      </c>
      <c r="C16" s="6" t="s">
        <v>12</v>
      </c>
      <c r="D16" s="6" t="s">
        <v>12</v>
      </c>
      <c r="E16" s="7">
        <f>ROUND((Source!F78)/1000,2)</f>
        <v>597.96</v>
      </c>
      <c r="F16" s="7">
        <f>ROUND((Source!F79)/1000,2)</f>
        <v>82.97</v>
      </c>
      <c r="G16" s="7">
        <f>ROUND((Source!F70)/1000,2)</f>
        <v>0</v>
      </c>
      <c r="H16" s="7">
        <f>ROUND((Source!F80)/1000+(Source!F81)/1000,2)</f>
        <v>7.23</v>
      </c>
      <c r="I16" s="7">
        <f>E16+F16+G16+H16</f>
        <v>688.16000000000008</v>
      </c>
      <c r="J16" s="7">
        <f>ROUND((Source!F76+Source!F75)/1000,2)</f>
        <v>42.35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627893.87</v>
      </c>
      <c r="AU16" s="7">
        <v>578048.03</v>
      </c>
      <c r="AV16" s="7">
        <v>0</v>
      </c>
      <c r="AW16" s="7">
        <v>0</v>
      </c>
      <c r="AX16" s="7">
        <v>0</v>
      </c>
      <c r="AY16" s="7">
        <v>8341.85</v>
      </c>
      <c r="AZ16" s="7">
        <v>841.23</v>
      </c>
      <c r="BA16" s="7">
        <v>41503.99</v>
      </c>
      <c r="BB16" s="7">
        <v>597955.9</v>
      </c>
      <c r="BC16" s="7">
        <v>82973.789999999994</v>
      </c>
      <c r="BD16" s="7">
        <v>7234.39</v>
      </c>
      <c r="BE16" s="7">
        <v>0</v>
      </c>
      <c r="BF16" s="7">
        <v>143.12730480000002</v>
      </c>
      <c r="BG16" s="7">
        <v>2.3238484000000001</v>
      </c>
      <c r="BH16" s="7">
        <v>0</v>
      </c>
      <c r="BI16" s="7">
        <v>39788.71</v>
      </c>
      <c r="BJ16" s="7">
        <v>20481.5</v>
      </c>
      <c r="BK16" s="7">
        <v>688164.08</v>
      </c>
    </row>
    <row r="18" spans="1:19" x14ac:dyDescent="0.2">
      <c r="A18">
        <v>51</v>
      </c>
      <c r="E18" s="8">
        <f>SUMIF(A16:A17,3,E16:E17)</f>
        <v>597.96</v>
      </c>
      <c r="F18" s="8">
        <f>SUMIF(A16:A17,3,F16:F17)</f>
        <v>82.97</v>
      </c>
      <c r="G18" s="8">
        <f>SUMIF(A16:A17,3,G16:G17)</f>
        <v>0</v>
      </c>
      <c r="H18" s="8">
        <f>SUMIF(A16:A17,3,H16:H17)</f>
        <v>7.23</v>
      </c>
      <c r="I18" s="8">
        <f>SUMIF(A16:A17,3,I16:I17)</f>
        <v>688.16000000000008</v>
      </c>
      <c r="J18" s="8">
        <f>SUMIF(A16:A17,3,J16:J17)</f>
        <v>42.35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 x14ac:dyDescent="0.2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627893.87</v>
      </c>
      <c r="G20" s="4" t="s">
        <v>186</v>
      </c>
      <c r="H20" s="4" t="s">
        <v>187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 x14ac:dyDescent="0.2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578048.03</v>
      </c>
      <c r="G21" s="4" t="s">
        <v>188</v>
      </c>
      <c r="H21" s="4" t="s">
        <v>189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190</v>
      </c>
      <c r="H22" s="4" t="s">
        <v>191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578048.03</v>
      </c>
      <c r="G23" s="4" t="s">
        <v>192</v>
      </c>
      <c r="H23" s="4" t="s">
        <v>193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 x14ac:dyDescent="0.2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578048.03</v>
      </c>
      <c r="G24" s="4" t="s">
        <v>194</v>
      </c>
      <c r="H24" s="4" t="s">
        <v>195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196</v>
      </c>
      <c r="H25" s="4" t="s">
        <v>197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578048.03</v>
      </c>
      <c r="G26" s="4" t="s">
        <v>198</v>
      </c>
      <c r="H26" s="4" t="s">
        <v>199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 x14ac:dyDescent="0.2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200</v>
      </c>
      <c r="H27" s="4" t="s">
        <v>201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202</v>
      </c>
      <c r="H28" s="4" t="s">
        <v>203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204</v>
      </c>
      <c r="H29" s="4" t="s">
        <v>205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 x14ac:dyDescent="0.2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8341.85</v>
      </c>
      <c r="G30" s="4" t="s">
        <v>206</v>
      </c>
      <c r="H30" s="4" t="s">
        <v>207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208</v>
      </c>
      <c r="H31" s="4" t="s">
        <v>209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 x14ac:dyDescent="0.2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841.23</v>
      </c>
      <c r="G32" s="4" t="s">
        <v>210</v>
      </c>
      <c r="H32" s="4" t="s">
        <v>211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 x14ac:dyDescent="0.2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41503.99</v>
      </c>
      <c r="G33" s="4" t="s">
        <v>212</v>
      </c>
      <c r="H33" s="4" t="s">
        <v>213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214</v>
      </c>
      <c r="H34" s="4" t="s">
        <v>215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 x14ac:dyDescent="0.2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597955.9</v>
      </c>
      <c r="G35" s="4" t="s">
        <v>216</v>
      </c>
      <c r="H35" s="4" t="s">
        <v>217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 x14ac:dyDescent="0.2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82973.789999999994</v>
      </c>
      <c r="G36" s="4" t="s">
        <v>218</v>
      </c>
      <c r="H36" s="4" t="s">
        <v>219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 x14ac:dyDescent="0.2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7234.39</v>
      </c>
      <c r="G37" s="4" t="s">
        <v>220</v>
      </c>
      <c r="H37" s="4" t="s">
        <v>221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222</v>
      </c>
      <c r="H38" s="4" t="s">
        <v>223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 x14ac:dyDescent="0.2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224</v>
      </c>
      <c r="H39" s="4" t="s">
        <v>225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 x14ac:dyDescent="0.2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143.12730480000002</v>
      </c>
      <c r="G40" s="4" t="s">
        <v>226</v>
      </c>
      <c r="H40" s="4" t="s">
        <v>227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 x14ac:dyDescent="0.2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2.3238484000000001</v>
      </c>
      <c r="G41" s="4" t="s">
        <v>228</v>
      </c>
      <c r="H41" s="4" t="s">
        <v>229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 x14ac:dyDescent="0.2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230</v>
      </c>
      <c r="H42" s="4" t="s">
        <v>231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 x14ac:dyDescent="0.2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232</v>
      </c>
      <c r="H43" s="4" t="s">
        <v>233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 x14ac:dyDescent="0.2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39788.71</v>
      </c>
      <c r="G44" s="4" t="s">
        <v>234</v>
      </c>
      <c r="H44" s="4" t="s">
        <v>235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 x14ac:dyDescent="0.2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20481.5</v>
      </c>
      <c r="G45" s="4" t="s">
        <v>236</v>
      </c>
      <c r="H45" s="4" t="s">
        <v>237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 x14ac:dyDescent="0.2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688164.08</v>
      </c>
      <c r="G46" s="4" t="s">
        <v>238</v>
      </c>
      <c r="H46" s="4" t="s">
        <v>239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 x14ac:dyDescent="0.2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41503.99</v>
      </c>
      <c r="G47" s="4" t="s">
        <v>240</v>
      </c>
      <c r="H47" s="4" t="s">
        <v>212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 x14ac:dyDescent="0.2">
      <c r="A48" s="4">
        <v>50</v>
      </c>
      <c r="B48" s="4">
        <v>1</v>
      </c>
      <c r="C48" s="4">
        <v>0</v>
      </c>
      <c r="D48" s="4">
        <v>2</v>
      </c>
      <c r="E48" s="4">
        <v>0</v>
      </c>
      <c r="F48" s="4">
        <v>8341.85</v>
      </c>
      <c r="G48" s="4" t="s">
        <v>241</v>
      </c>
      <c r="H48" s="4" t="s">
        <v>242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49" spans="1:50" x14ac:dyDescent="0.2">
      <c r="A49" s="4">
        <v>50</v>
      </c>
      <c r="B49" s="4">
        <v>1</v>
      </c>
      <c r="C49" s="4">
        <v>0</v>
      </c>
      <c r="D49" s="4">
        <v>2</v>
      </c>
      <c r="E49" s="4">
        <v>0</v>
      </c>
      <c r="F49" s="4">
        <v>578048.03</v>
      </c>
      <c r="G49" s="4" t="s">
        <v>243</v>
      </c>
      <c r="H49" s="4" t="s">
        <v>244</v>
      </c>
      <c r="I49" s="4"/>
      <c r="J49" s="4"/>
      <c r="K49" s="4">
        <v>212</v>
      </c>
      <c r="L49" s="4">
        <v>30</v>
      </c>
      <c r="M49" s="4">
        <v>0</v>
      </c>
      <c r="N49" s="4" t="s">
        <v>3</v>
      </c>
      <c r="O49" s="4">
        <v>2</v>
      </c>
      <c r="P49" s="4"/>
    </row>
    <row r="50" spans="1:50" x14ac:dyDescent="0.2">
      <c r="A50" s="4">
        <v>50</v>
      </c>
      <c r="B50" s="4">
        <v>1</v>
      </c>
      <c r="C50" s="4">
        <v>0</v>
      </c>
      <c r="D50" s="4">
        <v>2</v>
      </c>
      <c r="E50" s="4">
        <v>0</v>
      </c>
      <c r="F50" s="4">
        <v>39788.71</v>
      </c>
      <c r="G50" s="4" t="s">
        <v>245</v>
      </c>
      <c r="H50" s="4" t="s">
        <v>234</v>
      </c>
      <c r="I50" s="4"/>
      <c r="J50" s="4"/>
      <c r="K50" s="4">
        <v>212</v>
      </c>
      <c r="L50" s="4">
        <v>31</v>
      </c>
      <c r="M50" s="4">
        <v>0</v>
      </c>
      <c r="N50" s="4" t="s">
        <v>3</v>
      </c>
      <c r="O50" s="4">
        <v>2</v>
      </c>
      <c r="P50" s="4"/>
    </row>
    <row r="51" spans="1:50" x14ac:dyDescent="0.2">
      <c r="A51" s="4">
        <v>50</v>
      </c>
      <c r="B51" s="4">
        <v>1</v>
      </c>
      <c r="C51" s="4">
        <v>0</v>
      </c>
      <c r="D51" s="4">
        <v>2</v>
      </c>
      <c r="E51" s="4">
        <v>0</v>
      </c>
      <c r="F51" s="4">
        <v>20481.5</v>
      </c>
      <c r="G51" s="4" t="s">
        <v>246</v>
      </c>
      <c r="H51" s="4" t="s">
        <v>247</v>
      </c>
      <c r="I51" s="4"/>
      <c r="J51" s="4"/>
      <c r="K51" s="4">
        <v>212</v>
      </c>
      <c r="L51" s="4">
        <v>32</v>
      </c>
      <c r="M51" s="4">
        <v>0</v>
      </c>
      <c r="N51" s="4" t="s">
        <v>3</v>
      </c>
      <c r="O51" s="4">
        <v>2</v>
      </c>
      <c r="P51" s="4"/>
    </row>
    <row r="52" spans="1:50" x14ac:dyDescent="0.2">
      <c r="A52" s="4">
        <v>50</v>
      </c>
      <c r="B52" s="4">
        <v>1</v>
      </c>
      <c r="C52" s="4">
        <v>0</v>
      </c>
      <c r="D52" s="4">
        <v>2</v>
      </c>
      <c r="E52" s="4">
        <v>0</v>
      </c>
      <c r="F52" s="4">
        <v>688164.08</v>
      </c>
      <c r="G52" s="4" t="s">
        <v>248</v>
      </c>
      <c r="H52" s="4" t="s">
        <v>238</v>
      </c>
      <c r="I52" s="4"/>
      <c r="J52" s="4"/>
      <c r="K52" s="4">
        <v>212</v>
      </c>
      <c r="L52" s="4">
        <v>33</v>
      </c>
      <c r="M52" s="4">
        <v>0</v>
      </c>
      <c r="N52" s="4" t="s">
        <v>3</v>
      </c>
      <c r="O52" s="4">
        <v>2</v>
      </c>
      <c r="P52" s="4"/>
    </row>
    <row r="53" spans="1:50" x14ac:dyDescent="0.2">
      <c r="A53" s="4">
        <v>50</v>
      </c>
      <c r="B53" s="4">
        <v>1</v>
      </c>
      <c r="C53" s="4">
        <v>0</v>
      </c>
      <c r="D53" s="4">
        <v>2</v>
      </c>
      <c r="E53" s="4">
        <v>0</v>
      </c>
      <c r="F53" s="4">
        <v>137632.82</v>
      </c>
      <c r="G53" s="4" t="s">
        <v>249</v>
      </c>
      <c r="H53" s="4" t="s">
        <v>250</v>
      </c>
      <c r="I53" s="4"/>
      <c r="J53" s="4"/>
      <c r="K53" s="4">
        <v>212</v>
      </c>
      <c r="L53" s="4">
        <v>34</v>
      </c>
      <c r="M53" s="4">
        <v>0</v>
      </c>
      <c r="N53" s="4" t="s">
        <v>3</v>
      </c>
      <c r="O53" s="4">
        <v>2</v>
      </c>
      <c r="P53" s="4"/>
    </row>
    <row r="54" spans="1:50" x14ac:dyDescent="0.2">
      <c r="A54" s="4">
        <v>50</v>
      </c>
      <c r="B54" s="4">
        <v>1</v>
      </c>
      <c r="C54" s="4">
        <v>0</v>
      </c>
      <c r="D54" s="4">
        <v>2</v>
      </c>
      <c r="E54" s="4">
        <v>213</v>
      </c>
      <c r="F54" s="4">
        <v>825796.9</v>
      </c>
      <c r="G54" s="4" t="s">
        <v>251</v>
      </c>
      <c r="H54" s="4" t="s">
        <v>252</v>
      </c>
      <c r="I54" s="4"/>
      <c r="J54" s="4"/>
      <c r="K54" s="4">
        <v>212</v>
      </c>
      <c r="L54" s="4">
        <v>35</v>
      </c>
      <c r="M54" s="4">
        <v>0</v>
      </c>
      <c r="N54" s="4" t="s">
        <v>3</v>
      </c>
      <c r="O54" s="4">
        <v>2</v>
      </c>
      <c r="P54" s="4"/>
    </row>
    <row r="56" spans="1:50" x14ac:dyDescent="0.2">
      <c r="A56">
        <v>-1</v>
      </c>
    </row>
    <row r="59" spans="1:50" x14ac:dyDescent="0.2">
      <c r="A59" s="3">
        <v>75</v>
      </c>
      <c r="B59" s="3" t="s">
        <v>319</v>
      </c>
      <c r="C59" s="3">
        <v>2024</v>
      </c>
      <c r="D59" s="3">
        <v>0</v>
      </c>
      <c r="E59" s="3">
        <v>3</v>
      </c>
      <c r="F59" s="3"/>
      <c r="G59" s="3">
        <v>0</v>
      </c>
      <c r="H59" s="3">
        <v>1</v>
      </c>
      <c r="I59" s="3">
        <v>0</v>
      </c>
      <c r="J59" s="3">
        <v>3</v>
      </c>
      <c r="K59" s="3">
        <v>0</v>
      </c>
      <c r="L59" s="3">
        <v>0</v>
      </c>
      <c r="M59" s="3">
        <v>0</v>
      </c>
      <c r="N59" s="3">
        <v>92408302</v>
      </c>
      <c r="O59" s="3">
        <v>1</v>
      </c>
    </row>
    <row r="60" spans="1:50" x14ac:dyDescent="0.2">
      <c r="A60" s="5">
        <v>1</v>
      </c>
      <c r="B60" s="5" t="s">
        <v>320</v>
      </c>
      <c r="C60" s="5" t="s">
        <v>321</v>
      </c>
      <c r="D60" s="5">
        <v>2024</v>
      </c>
      <c r="E60" s="5">
        <v>3</v>
      </c>
      <c r="F60" s="5">
        <v>1</v>
      </c>
      <c r="G60" s="5">
        <v>1</v>
      </c>
      <c r="H60" s="5">
        <v>0</v>
      </c>
      <c r="I60" s="5">
        <v>2</v>
      </c>
      <c r="J60" s="5">
        <v>1</v>
      </c>
      <c r="K60" s="5">
        <v>1</v>
      </c>
      <c r="L60" s="5">
        <v>1</v>
      </c>
      <c r="M60" s="5">
        <v>1</v>
      </c>
      <c r="N60" s="5">
        <v>1</v>
      </c>
      <c r="O60" s="5">
        <v>1</v>
      </c>
      <c r="P60" s="5">
        <v>1</v>
      </c>
      <c r="Q60" s="5">
        <v>1</v>
      </c>
      <c r="R60" s="5" t="s">
        <v>3</v>
      </c>
      <c r="S60" s="5" t="s">
        <v>3</v>
      </c>
      <c r="T60" s="5" t="s">
        <v>3</v>
      </c>
      <c r="U60" s="5" t="s">
        <v>3</v>
      </c>
      <c r="V60" s="5" t="s">
        <v>3</v>
      </c>
      <c r="W60" s="5" t="s">
        <v>3</v>
      </c>
      <c r="X60" s="5" t="s">
        <v>3</v>
      </c>
      <c r="Y60" s="5" t="s">
        <v>3</v>
      </c>
      <c r="Z60" s="5" t="s">
        <v>3</v>
      </c>
      <c r="AA60" s="5" t="s">
        <v>3</v>
      </c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>
        <v>92408303</v>
      </c>
      <c r="AO60" s="5"/>
      <c r="AP60" s="5"/>
      <c r="AQ60" s="5"/>
      <c r="AR60" s="5"/>
      <c r="AS60" s="5"/>
      <c r="AT60" s="5"/>
      <c r="AU60" s="5"/>
      <c r="AV60" s="5"/>
      <c r="AW60" s="5"/>
      <c r="AX60" s="5"/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37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19" x14ac:dyDescent="0.2">
      <c r="A1">
        <f>ROW(Source!A24)</f>
        <v>24</v>
      </c>
      <c r="B1">
        <v>92408302</v>
      </c>
      <c r="C1">
        <v>92408833</v>
      </c>
      <c r="D1">
        <v>23129555</v>
      </c>
      <c r="E1">
        <v>1</v>
      </c>
      <c r="F1">
        <v>1</v>
      </c>
      <c r="G1">
        <v>1</v>
      </c>
      <c r="H1">
        <v>1</v>
      </c>
      <c r="I1" t="s">
        <v>323</v>
      </c>
      <c r="J1" t="s">
        <v>3</v>
      </c>
      <c r="K1" t="s">
        <v>324</v>
      </c>
      <c r="L1">
        <v>1369</v>
      </c>
      <c r="N1">
        <v>1013</v>
      </c>
      <c r="O1" t="s">
        <v>325</v>
      </c>
      <c r="P1" t="s">
        <v>325</v>
      </c>
      <c r="Q1">
        <v>1</v>
      </c>
      <c r="W1">
        <v>0</v>
      </c>
      <c r="X1">
        <v>1250814213</v>
      </c>
      <c r="Y1">
        <f t="shared" ref="Y1:Y32" si="0">AT1</f>
        <v>12.86</v>
      </c>
      <c r="AA1">
        <v>0</v>
      </c>
      <c r="AB1">
        <v>0</v>
      </c>
      <c r="AC1">
        <v>0</v>
      </c>
      <c r="AD1">
        <v>7.29</v>
      </c>
      <c r="AE1">
        <v>0</v>
      </c>
      <c r="AF1">
        <v>0</v>
      </c>
      <c r="AG1">
        <v>0</v>
      </c>
      <c r="AH1">
        <v>7.29</v>
      </c>
      <c r="AI1">
        <v>1</v>
      </c>
      <c r="AJ1">
        <v>1</v>
      </c>
      <c r="AK1">
        <v>1</v>
      </c>
      <c r="AL1">
        <v>1</v>
      </c>
      <c r="AM1">
        <v>-2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</v>
      </c>
      <c r="AT1">
        <v>12.86</v>
      </c>
      <c r="AU1" t="s">
        <v>3</v>
      </c>
      <c r="AV1">
        <v>1</v>
      </c>
      <c r="AW1">
        <v>2</v>
      </c>
      <c r="AX1">
        <v>92408835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U1">
        <f>ROUND(AT1*Source!I24*AH1*AL1,2)</f>
        <v>2.13</v>
      </c>
      <c r="CV1">
        <f>ROUND(Y1*Source!I24,9)</f>
        <v>0.2916648</v>
      </c>
      <c r="CW1">
        <v>0</v>
      </c>
      <c r="CX1">
        <f>ROUND(Y1*Source!I24,9)</f>
        <v>0.2916648</v>
      </c>
      <c r="CY1">
        <f>AD1</f>
        <v>7.29</v>
      </c>
      <c r="CZ1">
        <f>AH1</f>
        <v>7.29</v>
      </c>
      <c r="DA1">
        <f>AL1</f>
        <v>1</v>
      </c>
      <c r="DB1">
        <f t="shared" ref="DB1:DB32" si="1">ROUND(ROUND(AT1*CZ1,2),2)</f>
        <v>93.75</v>
      </c>
      <c r="DC1">
        <f t="shared" ref="DC1:DC32" si="2">ROUND(ROUND(AT1*AG1,2),2)</f>
        <v>0</v>
      </c>
      <c r="DD1" t="s">
        <v>3</v>
      </c>
      <c r="DE1" t="s">
        <v>3</v>
      </c>
      <c r="DF1">
        <f t="shared" ref="DF1:DF19" si="3">ROUND(ROUND(AE1,2)*CX1,2)</f>
        <v>0</v>
      </c>
      <c r="DG1">
        <f>ROUND(ROUND(AF1,2)*CX1,2)</f>
        <v>0</v>
      </c>
      <c r="DH1">
        <f>ROUND(ROUND(AG1,2)*CX1,2)</f>
        <v>0</v>
      </c>
      <c r="DI1">
        <f t="shared" ref="DI1:DI32" si="4">ROUND(ROUND(AH1,2)*CX1,2)</f>
        <v>2.13</v>
      </c>
      <c r="DJ1">
        <f>DI1</f>
        <v>2.13</v>
      </c>
      <c r="DK1">
        <v>0</v>
      </c>
      <c r="DL1" t="s">
        <v>3</v>
      </c>
      <c r="DM1">
        <v>0</v>
      </c>
      <c r="DN1" t="s">
        <v>3</v>
      </c>
      <c r="DO1">
        <v>0</v>
      </c>
    </row>
    <row r="2" spans="1:119" x14ac:dyDescent="0.2">
      <c r="A2">
        <f>ROW(Source!A24)</f>
        <v>24</v>
      </c>
      <c r="B2">
        <v>92408302</v>
      </c>
      <c r="C2">
        <v>92408833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24</v>
      </c>
      <c r="J2" t="s">
        <v>3</v>
      </c>
      <c r="K2" t="s">
        <v>326</v>
      </c>
      <c r="L2">
        <v>608254</v>
      </c>
      <c r="N2">
        <v>1013</v>
      </c>
      <c r="O2" t="s">
        <v>327</v>
      </c>
      <c r="P2" t="s">
        <v>327</v>
      </c>
      <c r="Q2">
        <v>1</v>
      </c>
      <c r="W2">
        <v>0</v>
      </c>
      <c r="X2">
        <v>-185737400</v>
      </c>
      <c r="Y2">
        <f t="shared" si="0"/>
        <v>58.76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M2">
        <v>-2</v>
      </c>
      <c r="AN2">
        <v>0</v>
      </c>
      <c r="AO2">
        <v>1</v>
      </c>
      <c r="AP2">
        <v>1</v>
      </c>
      <c r="AQ2">
        <v>0</v>
      </c>
      <c r="AR2">
        <v>0</v>
      </c>
      <c r="AS2" t="s">
        <v>3</v>
      </c>
      <c r="AT2">
        <v>58.76</v>
      </c>
      <c r="AU2" t="s">
        <v>3</v>
      </c>
      <c r="AV2">
        <v>2</v>
      </c>
      <c r="AW2">
        <v>2</v>
      </c>
      <c r="AX2">
        <v>92408836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V2">
        <v>0</v>
      </c>
      <c r="CW2">
        <v>0</v>
      </c>
      <c r="CX2">
        <f>ROUND(Y2*Source!I24,9)</f>
        <v>1.3326768</v>
      </c>
      <c r="CY2">
        <f>AD2</f>
        <v>0</v>
      </c>
      <c r="CZ2">
        <f>AH2</f>
        <v>0</v>
      </c>
      <c r="DA2">
        <f>AL2</f>
        <v>1</v>
      </c>
      <c r="DB2">
        <f t="shared" si="1"/>
        <v>0</v>
      </c>
      <c r="DC2">
        <f t="shared" si="2"/>
        <v>0</v>
      </c>
      <c r="DD2" t="s">
        <v>3</v>
      </c>
      <c r="DE2" t="s">
        <v>3</v>
      </c>
      <c r="DF2">
        <f t="shared" si="3"/>
        <v>0</v>
      </c>
      <c r="DG2">
        <f>ROUND(ROUND(AF2,2)*CX2,2)</f>
        <v>0</v>
      </c>
      <c r="DH2">
        <f>ROUND(ROUND(AG2,2)*CX2,2)</f>
        <v>0</v>
      </c>
      <c r="DI2">
        <f t="shared" si="4"/>
        <v>0</v>
      </c>
      <c r="DJ2">
        <f>DI2</f>
        <v>0</v>
      </c>
      <c r="DK2">
        <v>0</v>
      </c>
      <c r="DL2" t="s">
        <v>3</v>
      </c>
      <c r="DM2">
        <v>0</v>
      </c>
      <c r="DN2" t="s">
        <v>3</v>
      </c>
      <c r="DO2">
        <v>0</v>
      </c>
    </row>
    <row r="3" spans="1:119" x14ac:dyDescent="0.2">
      <c r="A3">
        <f>ROW(Source!A24)</f>
        <v>24</v>
      </c>
      <c r="B3">
        <v>92408302</v>
      </c>
      <c r="C3">
        <v>92408833</v>
      </c>
      <c r="D3">
        <v>37802763</v>
      </c>
      <c r="E3">
        <v>1</v>
      </c>
      <c r="F3">
        <v>1</v>
      </c>
      <c r="G3">
        <v>1</v>
      </c>
      <c r="H3">
        <v>2</v>
      </c>
      <c r="I3" t="s">
        <v>328</v>
      </c>
      <c r="J3" t="s">
        <v>329</v>
      </c>
      <c r="K3" t="s">
        <v>330</v>
      </c>
      <c r="L3">
        <v>1368</v>
      </c>
      <c r="N3">
        <v>1011</v>
      </c>
      <c r="O3" t="s">
        <v>331</v>
      </c>
      <c r="P3" t="s">
        <v>331</v>
      </c>
      <c r="Q3">
        <v>1</v>
      </c>
      <c r="W3">
        <v>0</v>
      </c>
      <c r="X3">
        <v>-242827276</v>
      </c>
      <c r="Y3">
        <f t="shared" si="0"/>
        <v>58.76</v>
      </c>
      <c r="AA3">
        <v>0</v>
      </c>
      <c r="AB3">
        <v>1335.7</v>
      </c>
      <c r="AC3">
        <v>342.38</v>
      </c>
      <c r="AD3">
        <v>0</v>
      </c>
      <c r="AE3">
        <v>0</v>
      </c>
      <c r="AF3">
        <v>74</v>
      </c>
      <c r="AG3">
        <v>10.35</v>
      </c>
      <c r="AH3">
        <v>0</v>
      </c>
      <c r="AI3">
        <v>1</v>
      </c>
      <c r="AJ3">
        <v>18.05</v>
      </c>
      <c r="AK3">
        <v>33.08</v>
      </c>
      <c r="AL3">
        <v>1</v>
      </c>
      <c r="AM3">
        <v>2</v>
      </c>
      <c r="AN3">
        <v>0</v>
      </c>
      <c r="AO3">
        <v>1</v>
      </c>
      <c r="AP3">
        <v>1</v>
      </c>
      <c r="AQ3">
        <v>0</v>
      </c>
      <c r="AR3">
        <v>0</v>
      </c>
      <c r="AS3" t="s">
        <v>3</v>
      </c>
      <c r="AT3">
        <v>58.76</v>
      </c>
      <c r="AU3" t="s">
        <v>3</v>
      </c>
      <c r="AV3">
        <v>0</v>
      </c>
      <c r="AW3">
        <v>2</v>
      </c>
      <c r="AX3">
        <v>92408837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V3">
        <v>0</v>
      </c>
      <c r="CW3">
        <f>ROUND(Y3*Source!I24,9)</f>
        <v>1.3326768</v>
      </c>
      <c r="CX3">
        <f>ROUND(Y3*Source!I24,9)</f>
        <v>1.3326768</v>
      </c>
      <c r="CY3">
        <f>AB3</f>
        <v>1335.7</v>
      </c>
      <c r="CZ3">
        <f>AF3</f>
        <v>74</v>
      </c>
      <c r="DA3">
        <f>AJ3</f>
        <v>18.05</v>
      </c>
      <c r="DB3">
        <f t="shared" si="1"/>
        <v>4348.24</v>
      </c>
      <c r="DC3">
        <f t="shared" si="2"/>
        <v>608.16999999999996</v>
      </c>
      <c r="DD3" t="s">
        <v>3</v>
      </c>
      <c r="DE3" t="s">
        <v>3</v>
      </c>
      <c r="DF3">
        <f t="shared" si="3"/>
        <v>0</v>
      </c>
      <c r="DG3">
        <f>ROUND(ROUND(AF3*AJ3,2)*CX3,2)</f>
        <v>1780.06</v>
      </c>
      <c r="DH3">
        <f>ROUND(ROUND(AG3*AK3,2)*CX3,2)</f>
        <v>456.28</v>
      </c>
      <c r="DI3">
        <f t="shared" si="4"/>
        <v>0</v>
      </c>
      <c r="DJ3">
        <f>DG3</f>
        <v>1780.06</v>
      </c>
      <c r="DK3">
        <v>0</v>
      </c>
      <c r="DL3" t="s">
        <v>3</v>
      </c>
      <c r="DM3">
        <v>0</v>
      </c>
      <c r="DN3" t="s">
        <v>3</v>
      </c>
      <c r="DO3">
        <v>0</v>
      </c>
    </row>
    <row r="4" spans="1:119" x14ac:dyDescent="0.2">
      <c r="A4">
        <f>ROW(Source!A25)</f>
        <v>25</v>
      </c>
      <c r="B4">
        <v>92408302</v>
      </c>
      <c r="C4">
        <v>92408366</v>
      </c>
      <c r="D4">
        <v>23129555</v>
      </c>
      <c r="E4">
        <v>1</v>
      </c>
      <c r="F4">
        <v>1</v>
      </c>
      <c r="G4">
        <v>1</v>
      </c>
      <c r="H4">
        <v>1</v>
      </c>
      <c r="I4" t="s">
        <v>323</v>
      </c>
      <c r="J4" t="s">
        <v>3</v>
      </c>
      <c r="K4" t="s">
        <v>324</v>
      </c>
      <c r="L4">
        <v>1369</v>
      </c>
      <c r="N4">
        <v>1013</v>
      </c>
      <c r="O4" t="s">
        <v>325</v>
      </c>
      <c r="P4" t="s">
        <v>325</v>
      </c>
      <c r="Q4">
        <v>1</v>
      </c>
      <c r="W4">
        <v>0</v>
      </c>
      <c r="X4">
        <v>1250814213</v>
      </c>
      <c r="Y4">
        <f t="shared" si="0"/>
        <v>154</v>
      </c>
      <c r="AA4">
        <v>0</v>
      </c>
      <c r="AB4">
        <v>0</v>
      </c>
      <c r="AC4">
        <v>0</v>
      </c>
      <c r="AD4">
        <v>7.29</v>
      </c>
      <c r="AE4">
        <v>0</v>
      </c>
      <c r="AF4">
        <v>0</v>
      </c>
      <c r="AG4">
        <v>0</v>
      </c>
      <c r="AH4">
        <v>7.29</v>
      </c>
      <c r="AI4">
        <v>1</v>
      </c>
      <c r="AJ4">
        <v>1</v>
      </c>
      <c r="AK4">
        <v>1</v>
      </c>
      <c r="AL4">
        <v>1</v>
      </c>
      <c r="AM4">
        <v>-2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154</v>
      </c>
      <c r="AU4" t="s">
        <v>3</v>
      </c>
      <c r="AV4">
        <v>1</v>
      </c>
      <c r="AW4">
        <v>2</v>
      </c>
      <c r="AX4">
        <v>92408368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U4">
        <f>ROUND(AT4*Source!I25*AH4*AL4,2)</f>
        <v>109.12</v>
      </c>
      <c r="CV4">
        <f>ROUND(Y4*Source!I25,9)</f>
        <v>14.9688</v>
      </c>
      <c r="CW4">
        <v>0</v>
      </c>
      <c r="CX4">
        <f>ROUND(Y4*Source!I25,9)</f>
        <v>14.9688</v>
      </c>
      <c r="CY4">
        <f>AD4</f>
        <v>7.29</v>
      </c>
      <c r="CZ4">
        <f>AH4</f>
        <v>7.29</v>
      </c>
      <c r="DA4">
        <f>AL4</f>
        <v>1</v>
      </c>
      <c r="DB4">
        <f t="shared" si="1"/>
        <v>1122.6600000000001</v>
      </c>
      <c r="DC4">
        <f t="shared" si="2"/>
        <v>0</v>
      </c>
      <c r="DD4" t="s">
        <v>3</v>
      </c>
      <c r="DE4" t="s">
        <v>3</v>
      </c>
      <c r="DF4">
        <f t="shared" si="3"/>
        <v>0</v>
      </c>
      <c r="DG4">
        <f>ROUND(ROUND(AF4,2)*CX4,2)</f>
        <v>0</v>
      </c>
      <c r="DH4">
        <f>ROUND(ROUND(AG4,2)*CX4,2)</f>
        <v>0</v>
      </c>
      <c r="DI4">
        <f t="shared" si="4"/>
        <v>109.12</v>
      </c>
      <c r="DJ4">
        <f>DI4</f>
        <v>109.12</v>
      </c>
      <c r="DK4">
        <v>0</v>
      </c>
      <c r="DL4" t="s">
        <v>3</v>
      </c>
      <c r="DM4">
        <v>0</v>
      </c>
      <c r="DN4" t="s">
        <v>3</v>
      </c>
      <c r="DO4">
        <v>0</v>
      </c>
    </row>
    <row r="5" spans="1:119" x14ac:dyDescent="0.2">
      <c r="A5">
        <f>ROW(Source!A26)</f>
        <v>26</v>
      </c>
      <c r="B5">
        <v>92408302</v>
      </c>
      <c r="C5">
        <v>92408834</v>
      </c>
      <c r="D5">
        <v>121548</v>
      </c>
      <c r="E5">
        <v>1</v>
      </c>
      <c r="F5">
        <v>1</v>
      </c>
      <c r="G5">
        <v>1</v>
      </c>
      <c r="H5">
        <v>1</v>
      </c>
      <c r="I5" t="s">
        <v>24</v>
      </c>
      <c r="J5" t="s">
        <v>3</v>
      </c>
      <c r="K5" t="s">
        <v>326</v>
      </c>
      <c r="L5">
        <v>608254</v>
      </c>
      <c r="N5">
        <v>1013</v>
      </c>
      <c r="O5" t="s">
        <v>327</v>
      </c>
      <c r="P5" t="s">
        <v>327</v>
      </c>
      <c r="Q5">
        <v>1</v>
      </c>
      <c r="W5">
        <v>0</v>
      </c>
      <c r="X5">
        <v>-185737400</v>
      </c>
      <c r="Y5">
        <f t="shared" si="0"/>
        <v>8.8699999999999992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1</v>
      </c>
      <c r="AJ5">
        <v>1</v>
      </c>
      <c r="AK5">
        <v>1</v>
      </c>
      <c r="AL5">
        <v>1</v>
      </c>
      <c r="AM5">
        <v>-2</v>
      </c>
      <c r="AN5">
        <v>0</v>
      </c>
      <c r="AO5">
        <v>1</v>
      </c>
      <c r="AP5">
        <v>1</v>
      </c>
      <c r="AQ5">
        <v>0</v>
      </c>
      <c r="AR5">
        <v>0</v>
      </c>
      <c r="AS5" t="s">
        <v>3</v>
      </c>
      <c r="AT5">
        <v>8.8699999999999992</v>
      </c>
      <c r="AU5" t="s">
        <v>3</v>
      </c>
      <c r="AV5">
        <v>2</v>
      </c>
      <c r="AW5">
        <v>2</v>
      </c>
      <c r="AX5">
        <v>92408838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V5">
        <v>0</v>
      </c>
      <c r="CW5">
        <v>0</v>
      </c>
      <c r="CX5">
        <f>ROUND(Y5*Source!I26,9)</f>
        <v>0.20117160000000001</v>
      </c>
      <c r="CY5">
        <f>AD5</f>
        <v>0</v>
      </c>
      <c r="CZ5">
        <f>AH5</f>
        <v>0</v>
      </c>
      <c r="DA5">
        <f>AL5</f>
        <v>1</v>
      </c>
      <c r="DB5">
        <f t="shared" si="1"/>
        <v>0</v>
      </c>
      <c r="DC5">
        <f t="shared" si="2"/>
        <v>0</v>
      </c>
      <c r="DD5" t="s">
        <v>3</v>
      </c>
      <c r="DE5" t="s">
        <v>3</v>
      </c>
      <c r="DF5">
        <f t="shared" si="3"/>
        <v>0</v>
      </c>
      <c r="DG5">
        <f>ROUND(ROUND(AF5,2)*CX5,2)</f>
        <v>0</v>
      </c>
      <c r="DH5">
        <f>ROUND(ROUND(AG5,2)*CX5,2)</f>
        <v>0</v>
      </c>
      <c r="DI5">
        <f t="shared" si="4"/>
        <v>0</v>
      </c>
      <c r="DJ5">
        <f>DI5</f>
        <v>0</v>
      </c>
      <c r="DK5">
        <v>0</v>
      </c>
      <c r="DL5" t="s">
        <v>3</v>
      </c>
      <c r="DM5">
        <v>0</v>
      </c>
      <c r="DN5" t="s">
        <v>3</v>
      </c>
      <c r="DO5">
        <v>0</v>
      </c>
    </row>
    <row r="6" spans="1:119" x14ac:dyDescent="0.2">
      <c r="A6">
        <f>ROW(Source!A26)</f>
        <v>26</v>
      </c>
      <c r="B6">
        <v>92408302</v>
      </c>
      <c r="C6">
        <v>92408834</v>
      </c>
      <c r="D6">
        <v>37802809</v>
      </c>
      <c r="E6">
        <v>1</v>
      </c>
      <c r="F6">
        <v>1</v>
      </c>
      <c r="G6">
        <v>1</v>
      </c>
      <c r="H6">
        <v>2</v>
      </c>
      <c r="I6" t="s">
        <v>332</v>
      </c>
      <c r="J6" t="s">
        <v>333</v>
      </c>
      <c r="K6" t="s">
        <v>334</v>
      </c>
      <c r="L6">
        <v>1368</v>
      </c>
      <c r="N6">
        <v>1011</v>
      </c>
      <c r="O6" t="s">
        <v>331</v>
      </c>
      <c r="P6" t="s">
        <v>331</v>
      </c>
      <c r="Q6">
        <v>1</v>
      </c>
      <c r="W6">
        <v>0</v>
      </c>
      <c r="X6">
        <v>-521383579</v>
      </c>
      <c r="Y6">
        <f t="shared" si="0"/>
        <v>8.8699999999999992</v>
      </c>
      <c r="AA6">
        <v>0</v>
      </c>
      <c r="AB6">
        <v>1490.2</v>
      </c>
      <c r="AC6">
        <v>342.38</v>
      </c>
      <c r="AD6">
        <v>0</v>
      </c>
      <c r="AE6">
        <v>0</v>
      </c>
      <c r="AF6">
        <v>102.49</v>
      </c>
      <c r="AG6">
        <v>10.35</v>
      </c>
      <c r="AH6">
        <v>0</v>
      </c>
      <c r="AI6">
        <v>1</v>
      </c>
      <c r="AJ6">
        <v>14.54</v>
      </c>
      <c r="AK6">
        <v>33.08</v>
      </c>
      <c r="AL6">
        <v>1</v>
      </c>
      <c r="AM6">
        <v>2</v>
      </c>
      <c r="AN6">
        <v>0</v>
      </c>
      <c r="AO6">
        <v>1</v>
      </c>
      <c r="AP6">
        <v>1</v>
      </c>
      <c r="AQ6">
        <v>0</v>
      </c>
      <c r="AR6">
        <v>0</v>
      </c>
      <c r="AS6" t="s">
        <v>3</v>
      </c>
      <c r="AT6">
        <v>8.8699999999999992</v>
      </c>
      <c r="AU6" t="s">
        <v>3</v>
      </c>
      <c r="AV6">
        <v>0</v>
      </c>
      <c r="AW6">
        <v>2</v>
      </c>
      <c r="AX6">
        <v>92408839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V6">
        <v>0</v>
      </c>
      <c r="CW6">
        <f>ROUND(Y6*Source!I26,9)</f>
        <v>0.20117160000000001</v>
      </c>
      <c r="CX6">
        <f>ROUND(Y6*Source!I26,9)</f>
        <v>0.20117160000000001</v>
      </c>
      <c r="CY6">
        <f>AB6</f>
        <v>1490.2</v>
      </c>
      <c r="CZ6">
        <f>AF6</f>
        <v>102.49</v>
      </c>
      <c r="DA6">
        <f>AJ6</f>
        <v>14.54</v>
      </c>
      <c r="DB6">
        <f t="shared" si="1"/>
        <v>909.09</v>
      </c>
      <c r="DC6">
        <f t="shared" si="2"/>
        <v>91.8</v>
      </c>
      <c r="DD6" t="s">
        <v>3</v>
      </c>
      <c r="DE6" t="s">
        <v>3</v>
      </c>
      <c r="DF6">
        <f t="shared" si="3"/>
        <v>0</v>
      </c>
      <c r="DG6">
        <f>ROUND(ROUND(AF6*AJ6,2)*CX6,2)</f>
        <v>299.79000000000002</v>
      </c>
      <c r="DH6">
        <f>ROUND(ROUND(AG6*AK6,2)*CX6,2)</f>
        <v>68.88</v>
      </c>
      <c r="DI6">
        <f t="shared" si="4"/>
        <v>0</v>
      </c>
      <c r="DJ6">
        <f>DG6</f>
        <v>299.79000000000002</v>
      </c>
      <c r="DK6">
        <v>0</v>
      </c>
      <c r="DL6" t="s">
        <v>3</v>
      </c>
      <c r="DM6">
        <v>0</v>
      </c>
      <c r="DN6" t="s">
        <v>3</v>
      </c>
      <c r="DO6">
        <v>0</v>
      </c>
    </row>
    <row r="7" spans="1:119" x14ac:dyDescent="0.2">
      <c r="A7">
        <f>ROW(Source!A27)</f>
        <v>27</v>
      </c>
      <c r="B7">
        <v>92408302</v>
      </c>
      <c r="C7">
        <v>92408369</v>
      </c>
      <c r="D7">
        <v>23135960</v>
      </c>
      <c r="E7">
        <v>1</v>
      </c>
      <c r="F7">
        <v>1</v>
      </c>
      <c r="G7">
        <v>1</v>
      </c>
      <c r="H7">
        <v>1</v>
      </c>
      <c r="I7" t="s">
        <v>335</v>
      </c>
      <c r="J7" t="s">
        <v>3</v>
      </c>
      <c r="K7" t="s">
        <v>336</v>
      </c>
      <c r="L7">
        <v>1369</v>
      </c>
      <c r="N7">
        <v>1013</v>
      </c>
      <c r="O7" t="s">
        <v>325</v>
      </c>
      <c r="P7" t="s">
        <v>325</v>
      </c>
      <c r="Q7">
        <v>1</v>
      </c>
      <c r="W7">
        <v>0</v>
      </c>
      <c r="X7">
        <v>-486278812</v>
      </c>
      <c r="Y7">
        <f t="shared" si="0"/>
        <v>97.2</v>
      </c>
      <c r="AA7">
        <v>0</v>
      </c>
      <c r="AB7">
        <v>0</v>
      </c>
      <c r="AC7">
        <v>0</v>
      </c>
      <c r="AD7">
        <v>7.01</v>
      </c>
      <c r="AE7">
        <v>0</v>
      </c>
      <c r="AF7">
        <v>0</v>
      </c>
      <c r="AG7">
        <v>0</v>
      </c>
      <c r="AH7">
        <v>7.01</v>
      </c>
      <c r="AI7">
        <v>1</v>
      </c>
      <c r="AJ7">
        <v>1</v>
      </c>
      <c r="AK7">
        <v>1</v>
      </c>
      <c r="AL7">
        <v>1</v>
      </c>
      <c r="AM7">
        <v>-2</v>
      </c>
      <c r="AN7">
        <v>0</v>
      </c>
      <c r="AO7">
        <v>1</v>
      </c>
      <c r="AP7">
        <v>1</v>
      </c>
      <c r="AQ7">
        <v>0</v>
      </c>
      <c r="AR7">
        <v>0</v>
      </c>
      <c r="AS7" t="s">
        <v>3</v>
      </c>
      <c r="AT7">
        <v>97.2</v>
      </c>
      <c r="AU7" t="s">
        <v>3</v>
      </c>
      <c r="AV7">
        <v>1</v>
      </c>
      <c r="AW7">
        <v>2</v>
      </c>
      <c r="AX7">
        <v>92408371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U7">
        <f>ROUND(AT7*Source!I27*AH7*AL7,2)</f>
        <v>66.23</v>
      </c>
      <c r="CV7">
        <f>ROUND(Y7*Source!I27,9)</f>
        <v>9.4478399999999993</v>
      </c>
      <c r="CW7">
        <v>0</v>
      </c>
      <c r="CX7">
        <f>ROUND(Y7*Source!I27,9)</f>
        <v>9.4478399999999993</v>
      </c>
      <c r="CY7">
        <f>AD7</f>
        <v>7.01</v>
      </c>
      <c r="CZ7">
        <f>AH7</f>
        <v>7.01</v>
      </c>
      <c r="DA7">
        <f>AL7</f>
        <v>1</v>
      </c>
      <c r="DB7">
        <f t="shared" si="1"/>
        <v>681.37</v>
      </c>
      <c r="DC7">
        <f t="shared" si="2"/>
        <v>0</v>
      </c>
      <c r="DD7" t="s">
        <v>3</v>
      </c>
      <c r="DE7" t="s">
        <v>3</v>
      </c>
      <c r="DF7">
        <f t="shared" si="3"/>
        <v>0</v>
      </c>
      <c r="DG7">
        <f>ROUND(ROUND(AF7,2)*CX7,2)</f>
        <v>0</v>
      </c>
      <c r="DH7">
        <f>ROUND(ROUND(AG7,2)*CX7,2)</f>
        <v>0</v>
      </c>
      <c r="DI7">
        <f t="shared" si="4"/>
        <v>66.23</v>
      </c>
      <c r="DJ7">
        <f>DI7</f>
        <v>66.23</v>
      </c>
      <c r="DK7">
        <v>0</v>
      </c>
      <c r="DL7" t="s">
        <v>3</v>
      </c>
      <c r="DM7">
        <v>0</v>
      </c>
      <c r="DN7" t="s">
        <v>3</v>
      </c>
      <c r="DO7">
        <v>0</v>
      </c>
    </row>
    <row r="8" spans="1:119" x14ac:dyDescent="0.2">
      <c r="A8">
        <f>ROW(Source!A28)</f>
        <v>28</v>
      </c>
      <c r="B8">
        <v>92408302</v>
      </c>
      <c r="C8">
        <v>92408372</v>
      </c>
      <c r="D8">
        <v>23351395</v>
      </c>
      <c r="E8">
        <v>1</v>
      </c>
      <c r="F8">
        <v>1</v>
      </c>
      <c r="G8">
        <v>1</v>
      </c>
      <c r="H8">
        <v>1</v>
      </c>
      <c r="I8" t="s">
        <v>337</v>
      </c>
      <c r="J8" t="s">
        <v>3</v>
      </c>
      <c r="K8" t="s">
        <v>338</v>
      </c>
      <c r="L8">
        <v>1369</v>
      </c>
      <c r="N8">
        <v>1013</v>
      </c>
      <c r="O8" t="s">
        <v>325</v>
      </c>
      <c r="P8" t="s">
        <v>325</v>
      </c>
      <c r="Q8">
        <v>1</v>
      </c>
      <c r="W8">
        <v>0</v>
      </c>
      <c r="X8">
        <v>1072260845</v>
      </c>
      <c r="Y8">
        <f t="shared" si="0"/>
        <v>5.3</v>
      </c>
      <c r="AA8">
        <v>0</v>
      </c>
      <c r="AB8">
        <v>0</v>
      </c>
      <c r="AC8">
        <v>0</v>
      </c>
      <c r="AD8">
        <v>8.99</v>
      </c>
      <c r="AE8">
        <v>0</v>
      </c>
      <c r="AF8">
        <v>0</v>
      </c>
      <c r="AG8">
        <v>0</v>
      </c>
      <c r="AH8">
        <v>8.99</v>
      </c>
      <c r="AI8">
        <v>1</v>
      </c>
      <c r="AJ8">
        <v>1</v>
      </c>
      <c r="AK8">
        <v>1</v>
      </c>
      <c r="AL8">
        <v>1</v>
      </c>
      <c r="AM8">
        <v>-2</v>
      </c>
      <c r="AN8">
        <v>0</v>
      </c>
      <c r="AO8">
        <v>1</v>
      </c>
      <c r="AP8">
        <v>1</v>
      </c>
      <c r="AQ8">
        <v>0</v>
      </c>
      <c r="AR8">
        <v>0</v>
      </c>
      <c r="AS8" t="s">
        <v>3</v>
      </c>
      <c r="AT8">
        <v>5.3</v>
      </c>
      <c r="AU8" t="s">
        <v>3</v>
      </c>
      <c r="AV8">
        <v>1</v>
      </c>
      <c r="AW8">
        <v>2</v>
      </c>
      <c r="AX8">
        <v>92408376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U8">
        <f>ROUND(AT8*Source!I28*AH8*AL8,2)</f>
        <v>28.59</v>
      </c>
      <c r="CV8">
        <f>ROUND(Y8*Source!I28,9)</f>
        <v>3.18</v>
      </c>
      <c r="CW8">
        <v>0</v>
      </c>
      <c r="CX8">
        <f>ROUND(Y8*Source!I28,9)</f>
        <v>3.18</v>
      </c>
      <c r="CY8">
        <f>AD8</f>
        <v>8.99</v>
      </c>
      <c r="CZ8">
        <f>AH8</f>
        <v>8.99</v>
      </c>
      <c r="DA8">
        <f>AL8</f>
        <v>1</v>
      </c>
      <c r="DB8">
        <f t="shared" si="1"/>
        <v>47.65</v>
      </c>
      <c r="DC8">
        <f t="shared" si="2"/>
        <v>0</v>
      </c>
      <c r="DD8" t="s">
        <v>3</v>
      </c>
      <c r="DE8" t="s">
        <v>3</v>
      </c>
      <c r="DF8">
        <f t="shared" si="3"/>
        <v>0</v>
      </c>
      <c r="DG8">
        <f>ROUND(ROUND(AF8,2)*CX8,2)</f>
        <v>0</v>
      </c>
      <c r="DH8">
        <f>ROUND(ROUND(AG8,2)*CX8,2)</f>
        <v>0</v>
      </c>
      <c r="DI8">
        <f t="shared" si="4"/>
        <v>28.59</v>
      </c>
      <c r="DJ8">
        <f>DI8</f>
        <v>28.59</v>
      </c>
      <c r="DK8">
        <v>0</v>
      </c>
      <c r="DL8" t="s">
        <v>3</v>
      </c>
      <c r="DM8">
        <v>0</v>
      </c>
      <c r="DN8" t="s">
        <v>3</v>
      </c>
      <c r="DO8">
        <v>0</v>
      </c>
    </row>
    <row r="9" spans="1:119" x14ac:dyDescent="0.2">
      <c r="A9">
        <f>ROW(Source!A28)</f>
        <v>28</v>
      </c>
      <c r="B9">
        <v>92408302</v>
      </c>
      <c r="C9">
        <v>92408372</v>
      </c>
      <c r="D9">
        <v>37804456</v>
      </c>
      <c r="E9">
        <v>1</v>
      </c>
      <c r="F9">
        <v>1</v>
      </c>
      <c r="G9">
        <v>1</v>
      </c>
      <c r="H9">
        <v>2</v>
      </c>
      <c r="I9" t="s">
        <v>339</v>
      </c>
      <c r="J9" t="s">
        <v>340</v>
      </c>
      <c r="K9" t="s">
        <v>341</v>
      </c>
      <c r="L9">
        <v>1368</v>
      </c>
      <c r="N9">
        <v>1011</v>
      </c>
      <c r="O9" t="s">
        <v>331</v>
      </c>
      <c r="P9" t="s">
        <v>331</v>
      </c>
      <c r="Q9">
        <v>1</v>
      </c>
      <c r="W9">
        <v>0</v>
      </c>
      <c r="X9">
        <v>-671646184</v>
      </c>
      <c r="Y9">
        <f t="shared" si="0"/>
        <v>3.9</v>
      </c>
      <c r="AA9">
        <v>0</v>
      </c>
      <c r="AB9">
        <v>1289.23</v>
      </c>
      <c r="AC9">
        <v>342.38</v>
      </c>
      <c r="AD9">
        <v>0</v>
      </c>
      <c r="AE9">
        <v>0</v>
      </c>
      <c r="AF9">
        <v>91.76</v>
      </c>
      <c r="AG9">
        <v>10.35</v>
      </c>
      <c r="AH9">
        <v>0</v>
      </c>
      <c r="AI9">
        <v>1</v>
      </c>
      <c r="AJ9">
        <v>14.05</v>
      </c>
      <c r="AK9">
        <v>33.08</v>
      </c>
      <c r="AL9">
        <v>1</v>
      </c>
      <c r="AM9">
        <v>2</v>
      </c>
      <c r="AN9">
        <v>0</v>
      </c>
      <c r="AO9">
        <v>1</v>
      </c>
      <c r="AP9">
        <v>1</v>
      </c>
      <c r="AQ9">
        <v>0</v>
      </c>
      <c r="AR9">
        <v>0</v>
      </c>
      <c r="AS9" t="s">
        <v>3</v>
      </c>
      <c r="AT9">
        <v>3.9</v>
      </c>
      <c r="AU9" t="s">
        <v>3</v>
      </c>
      <c r="AV9">
        <v>0</v>
      </c>
      <c r="AW9">
        <v>2</v>
      </c>
      <c r="AX9">
        <v>92408377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V9">
        <v>0</v>
      </c>
      <c r="CW9">
        <f>ROUND(Y9*Source!I28,9)</f>
        <v>2.34</v>
      </c>
      <c r="CX9">
        <f>ROUND(Y9*Source!I28,9)</f>
        <v>2.34</v>
      </c>
      <c r="CY9">
        <f>AB9</f>
        <v>1289.23</v>
      </c>
      <c r="CZ9">
        <f>AF9</f>
        <v>91.76</v>
      </c>
      <c r="DA9">
        <f>AJ9</f>
        <v>14.05</v>
      </c>
      <c r="DB9">
        <f t="shared" si="1"/>
        <v>357.86</v>
      </c>
      <c r="DC9">
        <f t="shared" si="2"/>
        <v>40.369999999999997</v>
      </c>
      <c r="DD9" t="s">
        <v>3</v>
      </c>
      <c r="DE9" t="s">
        <v>3</v>
      </c>
      <c r="DF9">
        <f t="shared" si="3"/>
        <v>0</v>
      </c>
      <c r="DG9">
        <f>ROUND(ROUND(AF9*AJ9,2)*CX9,2)</f>
        <v>3016.8</v>
      </c>
      <c r="DH9">
        <f>ROUND(ROUND(AG9*AK9,2)*CX9,2)</f>
        <v>801.17</v>
      </c>
      <c r="DI9">
        <f t="shared" si="4"/>
        <v>0</v>
      </c>
      <c r="DJ9">
        <f>DG9</f>
        <v>3016.8</v>
      </c>
      <c r="DK9">
        <v>0</v>
      </c>
      <c r="DL9" t="s">
        <v>3</v>
      </c>
      <c r="DM9">
        <v>0</v>
      </c>
      <c r="DN9" t="s">
        <v>3</v>
      </c>
      <c r="DO9">
        <v>0</v>
      </c>
    </row>
    <row r="10" spans="1:119" x14ac:dyDescent="0.2">
      <c r="A10">
        <f>ROW(Source!A28)</f>
        <v>28</v>
      </c>
      <c r="B10">
        <v>92408302</v>
      </c>
      <c r="C10">
        <v>92408372</v>
      </c>
      <c r="D10">
        <v>37801918</v>
      </c>
      <c r="E10">
        <v>1</v>
      </c>
      <c r="F10">
        <v>1</v>
      </c>
      <c r="G10">
        <v>1</v>
      </c>
      <c r="H10">
        <v>3</v>
      </c>
      <c r="I10" t="s">
        <v>100</v>
      </c>
      <c r="J10" t="s">
        <v>103</v>
      </c>
      <c r="K10" t="s">
        <v>101</v>
      </c>
      <c r="L10">
        <v>1374</v>
      </c>
      <c r="N10">
        <v>1013</v>
      </c>
      <c r="O10" t="s">
        <v>102</v>
      </c>
      <c r="P10" t="s">
        <v>102</v>
      </c>
      <c r="Q10">
        <v>1</v>
      </c>
      <c r="W10">
        <v>0</v>
      </c>
      <c r="X10">
        <v>2131831278</v>
      </c>
      <c r="Y10">
        <f t="shared" si="0"/>
        <v>0.95</v>
      </c>
      <c r="AA10">
        <v>1</v>
      </c>
      <c r="AB10">
        <v>0</v>
      </c>
      <c r="AC10">
        <v>0</v>
      </c>
      <c r="AD10">
        <v>0</v>
      </c>
      <c r="AE10">
        <v>1</v>
      </c>
      <c r="AF10">
        <v>0</v>
      </c>
      <c r="AG10">
        <v>0</v>
      </c>
      <c r="AH10">
        <v>0</v>
      </c>
      <c r="AI10">
        <v>1</v>
      </c>
      <c r="AJ10">
        <v>1</v>
      </c>
      <c r="AK10">
        <v>1</v>
      </c>
      <c r="AL10">
        <v>1</v>
      </c>
      <c r="AM10">
        <v>-2</v>
      </c>
      <c r="AN10">
        <v>0</v>
      </c>
      <c r="AO10">
        <v>1</v>
      </c>
      <c r="AP10">
        <v>1</v>
      </c>
      <c r="AQ10">
        <v>0</v>
      </c>
      <c r="AR10">
        <v>0</v>
      </c>
      <c r="AS10" t="s">
        <v>3</v>
      </c>
      <c r="AT10">
        <v>0.95</v>
      </c>
      <c r="AU10" t="s">
        <v>3</v>
      </c>
      <c r="AV10">
        <v>0</v>
      </c>
      <c r="AW10">
        <v>2</v>
      </c>
      <c r="AX10">
        <v>92408378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V10">
        <v>0</v>
      </c>
      <c r="CW10">
        <v>0</v>
      </c>
      <c r="CX10">
        <f>ROUND(Y10*Source!I28,9)</f>
        <v>0.56999999999999995</v>
      </c>
      <c r="CY10">
        <f>AA10</f>
        <v>1</v>
      </c>
      <c r="CZ10">
        <f>AE10</f>
        <v>1</v>
      </c>
      <c r="DA10">
        <f>AI10</f>
        <v>1</v>
      </c>
      <c r="DB10">
        <f t="shared" si="1"/>
        <v>0.95</v>
      </c>
      <c r="DC10">
        <f t="shared" si="2"/>
        <v>0</v>
      </c>
      <c r="DD10" t="s">
        <v>3</v>
      </c>
      <c r="DE10" t="s">
        <v>3</v>
      </c>
      <c r="DF10">
        <f t="shared" si="3"/>
        <v>0.56999999999999995</v>
      </c>
      <c r="DG10">
        <f>ROUND(ROUND(AF10,2)*CX10,2)</f>
        <v>0</v>
      </c>
      <c r="DH10">
        <f>ROUND(ROUND(AG10,2)*CX10,2)</f>
        <v>0</v>
      </c>
      <c r="DI10">
        <f t="shared" si="4"/>
        <v>0</v>
      </c>
      <c r="DJ10">
        <f>DF10</f>
        <v>0.56999999999999995</v>
      </c>
      <c r="DK10">
        <v>0</v>
      </c>
      <c r="DL10" t="s">
        <v>3</v>
      </c>
      <c r="DM10">
        <v>0</v>
      </c>
      <c r="DN10" t="s">
        <v>3</v>
      </c>
      <c r="DO10">
        <v>0</v>
      </c>
    </row>
    <row r="11" spans="1:119" x14ac:dyDescent="0.2">
      <c r="A11">
        <f>ROW(Source!A29)</f>
        <v>29</v>
      </c>
      <c r="B11">
        <v>92408302</v>
      </c>
      <c r="C11">
        <v>92408379</v>
      </c>
      <c r="D11">
        <v>23351395</v>
      </c>
      <c r="E11">
        <v>1</v>
      </c>
      <c r="F11">
        <v>1</v>
      </c>
      <c r="G11">
        <v>1</v>
      </c>
      <c r="H11">
        <v>1</v>
      </c>
      <c r="I11" t="s">
        <v>337</v>
      </c>
      <c r="J11" t="s">
        <v>3</v>
      </c>
      <c r="K11" t="s">
        <v>338</v>
      </c>
      <c r="L11">
        <v>1369</v>
      </c>
      <c r="N11">
        <v>1013</v>
      </c>
      <c r="O11" t="s">
        <v>325</v>
      </c>
      <c r="P11" t="s">
        <v>325</v>
      </c>
      <c r="Q11">
        <v>1</v>
      </c>
      <c r="W11">
        <v>0</v>
      </c>
      <c r="X11">
        <v>1072260845</v>
      </c>
      <c r="Y11">
        <f t="shared" si="0"/>
        <v>1.99</v>
      </c>
      <c r="AA11">
        <v>0</v>
      </c>
      <c r="AB11">
        <v>0</v>
      </c>
      <c r="AC11">
        <v>0</v>
      </c>
      <c r="AD11">
        <v>8.99</v>
      </c>
      <c r="AE11">
        <v>0</v>
      </c>
      <c r="AF11">
        <v>0</v>
      </c>
      <c r="AG11">
        <v>0</v>
      </c>
      <c r="AH11">
        <v>8.99</v>
      </c>
      <c r="AI11">
        <v>1</v>
      </c>
      <c r="AJ11">
        <v>1</v>
      </c>
      <c r="AK11">
        <v>1</v>
      </c>
      <c r="AL11">
        <v>1</v>
      </c>
      <c r="AM11">
        <v>-2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1.99</v>
      </c>
      <c r="AU11" t="s">
        <v>3</v>
      </c>
      <c r="AV11">
        <v>1</v>
      </c>
      <c r="AW11">
        <v>2</v>
      </c>
      <c r="AX11">
        <v>92408383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U11">
        <f>ROUND(AT11*Source!I29*AH11*AL11,2)</f>
        <v>32.200000000000003</v>
      </c>
      <c r="CV11">
        <f>ROUND(Y11*Source!I29,9)</f>
        <v>3.5819999999999999</v>
      </c>
      <c r="CW11">
        <v>0</v>
      </c>
      <c r="CX11">
        <f>ROUND(Y11*Source!I29,9)</f>
        <v>3.5819999999999999</v>
      </c>
      <c r="CY11">
        <f>AD11</f>
        <v>8.99</v>
      </c>
      <c r="CZ11">
        <f>AH11</f>
        <v>8.99</v>
      </c>
      <c r="DA11">
        <f>AL11</f>
        <v>1</v>
      </c>
      <c r="DB11">
        <f t="shared" si="1"/>
        <v>17.89</v>
      </c>
      <c r="DC11">
        <f t="shared" si="2"/>
        <v>0</v>
      </c>
      <c r="DD11" t="s">
        <v>3</v>
      </c>
      <c r="DE11" t="s">
        <v>3</v>
      </c>
      <c r="DF11">
        <f t="shared" si="3"/>
        <v>0</v>
      </c>
      <c r="DG11">
        <f>ROUND(ROUND(AF11,2)*CX11,2)</f>
        <v>0</v>
      </c>
      <c r="DH11">
        <f>ROUND(ROUND(AG11,2)*CX11,2)</f>
        <v>0</v>
      </c>
      <c r="DI11">
        <f t="shared" si="4"/>
        <v>32.200000000000003</v>
      </c>
      <c r="DJ11">
        <f>DI11</f>
        <v>32.200000000000003</v>
      </c>
      <c r="DK11">
        <v>0</v>
      </c>
      <c r="DL11" t="s">
        <v>3</v>
      </c>
      <c r="DM11">
        <v>0</v>
      </c>
      <c r="DN11" t="s">
        <v>3</v>
      </c>
      <c r="DO11">
        <v>0</v>
      </c>
    </row>
    <row r="12" spans="1:119" x14ac:dyDescent="0.2">
      <c r="A12">
        <f>ROW(Source!A29)</f>
        <v>29</v>
      </c>
      <c r="B12">
        <v>92408302</v>
      </c>
      <c r="C12">
        <v>92408379</v>
      </c>
      <c r="D12">
        <v>37804456</v>
      </c>
      <c r="E12">
        <v>1</v>
      </c>
      <c r="F12">
        <v>1</v>
      </c>
      <c r="G12">
        <v>1</v>
      </c>
      <c r="H12">
        <v>2</v>
      </c>
      <c r="I12" t="s">
        <v>339</v>
      </c>
      <c r="J12" t="s">
        <v>340</v>
      </c>
      <c r="K12" t="s">
        <v>341</v>
      </c>
      <c r="L12">
        <v>1368</v>
      </c>
      <c r="N12">
        <v>1011</v>
      </c>
      <c r="O12" t="s">
        <v>331</v>
      </c>
      <c r="P12" t="s">
        <v>331</v>
      </c>
      <c r="Q12">
        <v>1</v>
      </c>
      <c r="W12">
        <v>0</v>
      </c>
      <c r="X12">
        <v>-671646184</v>
      </c>
      <c r="Y12">
        <f t="shared" si="0"/>
        <v>0.08</v>
      </c>
      <c r="AA12">
        <v>0</v>
      </c>
      <c r="AB12">
        <v>1289.23</v>
      </c>
      <c r="AC12">
        <v>342.38</v>
      </c>
      <c r="AD12">
        <v>0</v>
      </c>
      <c r="AE12">
        <v>0</v>
      </c>
      <c r="AF12">
        <v>91.76</v>
      </c>
      <c r="AG12">
        <v>10.35</v>
      </c>
      <c r="AH12">
        <v>0</v>
      </c>
      <c r="AI12">
        <v>1</v>
      </c>
      <c r="AJ12">
        <v>14.05</v>
      </c>
      <c r="AK12">
        <v>33.08</v>
      </c>
      <c r="AL12">
        <v>1</v>
      </c>
      <c r="AM12">
        <v>2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0.08</v>
      </c>
      <c r="AU12" t="s">
        <v>3</v>
      </c>
      <c r="AV12">
        <v>0</v>
      </c>
      <c r="AW12">
        <v>2</v>
      </c>
      <c r="AX12">
        <v>92408384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V12">
        <v>0</v>
      </c>
      <c r="CW12">
        <f>ROUND(Y12*Source!I29,9)</f>
        <v>0.14399999999999999</v>
      </c>
      <c r="CX12">
        <f>ROUND(Y12*Source!I29,9)</f>
        <v>0.14399999999999999</v>
      </c>
      <c r="CY12">
        <f>AB12</f>
        <v>1289.23</v>
      </c>
      <c r="CZ12">
        <f>AF12</f>
        <v>91.76</v>
      </c>
      <c r="DA12">
        <f>AJ12</f>
        <v>14.05</v>
      </c>
      <c r="DB12">
        <f t="shared" si="1"/>
        <v>7.34</v>
      </c>
      <c r="DC12">
        <f t="shared" si="2"/>
        <v>0.83</v>
      </c>
      <c r="DD12" t="s">
        <v>3</v>
      </c>
      <c r="DE12" t="s">
        <v>3</v>
      </c>
      <c r="DF12">
        <f t="shared" si="3"/>
        <v>0</v>
      </c>
      <c r="DG12">
        <f>ROUND(ROUND(AF12*AJ12,2)*CX12,2)</f>
        <v>185.65</v>
      </c>
      <c r="DH12">
        <f>ROUND(ROUND(AG12*AK12,2)*CX12,2)</f>
        <v>49.3</v>
      </c>
      <c r="DI12">
        <f t="shared" si="4"/>
        <v>0</v>
      </c>
      <c r="DJ12">
        <f>DG12</f>
        <v>185.65</v>
      </c>
      <c r="DK12">
        <v>0</v>
      </c>
      <c r="DL12" t="s">
        <v>3</v>
      </c>
      <c r="DM12">
        <v>0</v>
      </c>
      <c r="DN12" t="s">
        <v>3</v>
      </c>
      <c r="DO12">
        <v>0</v>
      </c>
    </row>
    <row r="13" spans="1:119" x14ac:dyDescent="0.2">
      <c r="A13">
        <f>ROW(Source!A29)</f>
        <v>29</v>
      </c>
      <c r="B13">
        <v>92408302</v>
      </c>
      <c r="C13">
        <v>92408379</v>
      </c>
      <c r="D13">
        <v>37801918</v>
      </c>
      <c r="E13">
        <v>1</v>
      </c>
      <c r="F13">
        <v>1</v>
      </c>
      <c r="G13">
        <v>1</v>
      </c>
      <c r="H13">
        <v>3</v>
      </c>
      <c r="I13" t="s">
        <v>100</v>
      </c>
      <c r="J13" t="s">
        <v>103</v>
      </c>
      <c r="K13" t="s">
        <v>101</v>
      </c>
      <c r="L13">
        <v>1374</v>
      </c>
      <c r="N13">
        <v>1013</v>
      </c>
      <c r="O13" t="s">
        <v>102</v>
      </c>
      <c r="P13" t="s">
        <v>102</v>
      </c>
      <c r="Q13">
        <v>1</v>
      </c>
      <c r="W13">
        <v>0</v>
      </c>
      <c r="X13">
        <v>2131831278</v>
      </c>
      <c r="Y13">
        <f t="shared" si="0"/>
        <v>0.36</v>
      </c>
      <c r="AA13">
        <v>1</v>
      </c>
      <c r="AB13">
        <v>0</v>
      </c>
      <c r="AC13">
        <v>0</v>
      </c>
      <c r="AD13">
        <v>0</v>
      </c>
      <c r="AE13">
        <v>1</v>
      </c>
      <c r="AF13">
        <v>0</v>
      </c>
      <c r="AG13">
        <v>0</v>
      </c>
      <c r="AH13">
        <v>0</v>
      </c>
      <c r="AI13">
        <v>1</v>
      </c>
      <c r="AJ13">
        <v>1</v>
      </c>
      <c r="AK13">
        <v>1</v>
      </c>
      <c r="AL13">
        <v>1</v>
      </c>
      <c r="AM13">
        <v>-2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0.36</v>
      </c>
      <c r="AU13" t="s">
        <v>3</v>
      </c>
      <c r="AV13">
        <v>0</v>
      </c>
      <c r="AW13">
        <v>2</v>
      </c>
      <c r="AX13">
        <v>92408385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V13">
        <v>0</v>
      </c>
      <c r="CW13">
        <v>0</v>
      </c>
      <c r="CX13">
        <f>ROUND(Y13*Source!I29,9)</f>
        <v>0.64800000000000002</v>
      </c>
      <c r="CY13">
        <f>AA13</f>
        <v>1</v>
      </c>
      <c r="CZ13">
        <f>AE13</f>
        <v>1</v>
      </c>
      <c r="DA13">
        <f>AI13</f>
        <v>1</v>
      </c>
      <c r="DB13">
        <f t="shared" si="1"/>
        <v>0.36</v>
      </c>
      <c r="DC13">
        <f t="shared" si="2"/>
        <v>0</v>
      </c>
      <c r="DD13" t="s">
        <v>3</v>
      </c>
      <c r="DE13" t="s">
        <v>3</v>
      </c>
      <c r="DF13">
        <f t="shared" si="3"/>
        <v>0.65</v>
      </c>
      <c r="DG13">
        <f>ROUND(ROUND(AF13,2)*CX13,2)</f>
        <v>0</v>
      </c>
      <c r="DH13">
        <f>ROUND(ROUND(AG13,2)*CX13,2)</f>
        <v>0</v>
      </c>
      <c r="DI13">
        <f t="shared" si="4"/>
        <v>0</v>
      </c>
      <c r="DJ13">
        <f>DF13</f>
        <v>0.65</v>
      </c>
      <c r="DK13">
        <v>0</v>
      </c>
      <c r="DL13" t="s">
        <v>3</v>
      </c>
      <c r="DM13">
        <v>0</v>
      </c>
      <c r="DN13" t="s">
        <v>3</v>
      </c>
      <c r="DO13">
        <v>0</v>
      </c>
    </row>
    <row r="14" spans="1:119" x14ac:dyDescent="0.2">
      <c r="A14">
        <f>ROW(Source!A30)</f>
        <v>30</v>
      </c>
      <c r="B14">
        <v>92408302</v>
      </c>
      <c r="C14">
        <v>92408442</v>
      </c>
      <c r="D14">
        <v>23351395</v>
      </c>
      <c r="E14">
        <v>1</v>
      </c>
      <c r="F14">
        <v>1</v>
      </c>
      <c r="G14">
        <v>1</v>
      </c>
      <c r="H14">
        <v>1</v>
      </c>
      <c r="I14" t="s">
        <v>337</v>
      </c>
      <c r="J14" t="s">
        <v>3</v>
      </c>
      <c r="K14" t="s">
        <v>338</v>
      </c>
      <c r="L14">
        <v>1369</v>
      </c>
      <c r="N14">
        <v>1013</v>
      </c>
      <c r="O14" t="s">
        <v>325</v>
      </c>
      <c r="P14" t="s">
        <v>325</v>
      </c>
      <c r="Q14">
        <v>1</v>
      </c>
      <c r="W14">
        <v>0</v>
      </c>
      <c r="X14">
        <v>1072260845</v>
      </c>
      <c r="Y14">
        <f t="shared" si="0"/>
        <v>23.04</v>
      </c>
      <c r="AA14">
        <v>0</v>
      </c>
      <c r="AB14">
        <v>0</v>
      </c>
      <c r="AC14">
        <v>0</v>
      </c>
      <c r="AD14">
        <v>8.99</v>
      </c>
      <c r="AE14">
        <v>0</v>
      </c>
      <c r="AF14">
        <v>0</v>
      </c>
      <c r="AG14">
        <v>0</v>
      </c>
      <c r="AH14">
        <v>8.99</v>
      </c>
      <c r="AI14">
        <v>1</v>
      </c>
      <c r="AJ14">
        <v>1</v>
      </c>
      <c r="AK14">
        <v>1</v>
      </c>
      <c r="AL14">
        <v>1</v>
      </c>
      <c r="AM14">
        <v>-2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23.04</v>
      </c>
      <c r="AU14" t="s">
        <v>3</v>
      </c>
      <c r="AV14">
        <v>1</v>
      </c>
      <c r="AW14">
        <v>2</v>
      </c>
      <c r="AX14">
        <v>92408453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U14">
        <f>ROUND(AT14*Source!I30*AH14*AL14,2)</f>
        <v>497.11</v>
      </c>
      <c r="CV14">
        <f>ROUND(Y14*Source!I30,9)</f>
        <v>55.295999999999999</v>
      </c>
      <c r="CW14">
        <v>0</v>
      </c>
      <c r="CX14">
        <f>ROUND(Y14*Source!I30,9)</f>
        <v>55.295999999999999</v>
      </c>
      <c r="CY14">
        <f>AD14</f>
        <v>8.99</v>
      </c>
      <c r="CZ14">
        <f>AH14</f>
        <v>8.99</v>
      </c>
      <c r="DA14">
        <f>AL14</f>
        <v>1</v>
      </c>
      <c r="DB14">
        <f t="shared" si="1"/>
        <v>207.13</v>
      </c>
      <c r="DC14">
        <f t="shared" si="2"/>
        <v>0</v>
      </c>
      <c r="DD14" t="s">
        <v>3</v>
      </c>
      <c r="DE14" t="s">
        <v>3</v>
      </c>
      <c r="DF14">
        <f t="shared" si="3"/>
        <v>0</v>
      </c>
      <c r="DG14">
        <f>ROUND(ROUND(AF14,2)*CX14,2)</f>
        <v>0</v>
      </c>
      <c r="DH14">
        <f>ROUND(ROUND(AG14,2)*CX14,2)</f>
        <v>0</v>
      </c>
      <c r="DI14">
        <f t="shared" si="4"/>
        <v>497.11</v>
      </c>
      <c r="DJ14">
        <f>DI14</f>
        <v>497.11</v>
      </c>
      <c r="DK14">
        <v>0</v>
      </c>
      <c r="DL14" t="s">
        <v>3</v>
      </c>
      <c r="DM14">
        <v>0</v>
      </c>
      <c r="DN14" t="s">
        <v>3</v>
      </c>
      <c r="DO14">
        <v>0</v>
      </c>
    </row>
    <row r="15" spans="1:119" x14ac:dyDescent="0.2">
      <c r="A15">
        <f>ROW(Source!A30)</f>
        <v>30</v>
      </c>
      <c r="B15">
        <v>92408302</v>
      </c>
      <c r="C15">
        <v>92408442</v>
      </c>
      <c r="D15">
        <v>121548</v>
      </c>
      <c r="E15">
        <v>1</v>
      </c>
      <c r="F15">
        <v>1</v>
      </c>
      <c r="G15">
        <v>1</v>
      </c>
      <c r="H15">
        <v>1</v>
      </c>
      <c r="I15" t="s">
        <v>24</v>
      </c>
      <c r="J15" t="s">
        <v>3</v>
      </c>
      <c r="K15" t="s">
        <v>326</v>
      </c>
      <c r="L15">
        <v>608254</v>
      </c>
      <c r="N15">
        <v>1013</v>
      </c>
      <c r="O15" t="s">
        <v>327</v>
      </c>
      <c r="P15" t="s">
        <v>327</v>
      </c>
      <c r="Q15">
        <v>1</v>
      </c>
      <c r="W15">
        <v>0</v>
      </c>
      <c r="X15">
        <v>-185737400</v>
      </c>
      <c r="Y15">
        <f t="shared" si="0"/>
        <v>0.2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M15">
        <v>-2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0.2</v>
      </c>
      <c r="AU15" t="s">
        <v>3</v>
      </c>
      <c r="AV15">
        <v>2</v>
      </c>
      <c r="AW15">
        <v>2</v>
      </c>
      <c r="AX15">
        <v>92408454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V15">
        <v>0</v>
      </c>
      <c r="CW15">
        <v>0</v>
      </c>
      <c r="CX15">
        <f>ROUND(Y15*Source!I30,9)</f>
        <v>0.48</v>
      </c>
      <c r="CY15">
        <f>AD15</f>
        <v>0</v>
      </c>
      <c r="CZ15">
        <f>AH15</f>
        <v>0</v>
      </c>
      <c r="DA15">
        <f>AL15</f>
        <v>1</v>
      </c>
      <c r="DB15">
        <f t="shared" si="1"/>
        <v>0</v>
      </c>
      <c r="DC15">
        <f t="shared" si="2"/>
        <v>0</v>
      </c>
      <c r="DD15" t="s">
        <v>3</v>
      </c>
      <c r="DE15" t="s">
        <v>3</v>
      </c>
      <c r="DF15">
        <f t="shared" si="3"/>
        <v>0</v>
      </c>
      <c r="DG15">
        <f>ROUND(ROUND(AF15,2)*CX15,2)</f>
        <v>0</v>
      </c>
      <c r="DH15">
        <f>ROUND(ROUND(AG15,2)*CX15,2)</f>
        <v>0</v>
      </c>
      <c r="DI15">
        <f t="shared" si="4"/>
        <v>0</v>
      </c>
      <c r="DJ15">
        <f>DI15</f>
        <v>0</v>
      </c>
      <c r="DK15">
        <v>0</v>
      </c>
      <c r="DL15" t="s">
        <v>3</v>
      </c>
      <c r="DM15">
        <v>0</v>
      </c>
      <c r="DN15" t="s">
        <v>3</v>
      </c>
      <c r="DO15">
        <v>0</v>
      </c>
    </row>
    <row r="16" spans="1:119" x14ac:dyDescent="0.2">
      <c r="A16">
        <f>ROW(Source!A30)</f>
        <v>30</v>
      </c>
      <c r="B16">
        <v>92408302</v>
      </c>
      <c r="C16">
        <v>92408442</v>
      </c>
      <c r="D16">
        <v>37802432</v>
      </c>
      <c r="E16">
        <v>1</v>
      </c>
      <c r="F16">
        <v>1</v>
      </c>
      <c r="G16">
        <v>1</v>
      </c>
      <c r="H16">
        <v>2</v>
      </c>
      <c r="I16" t="s">
        <v>342</v>
      </c>
      <c r="J16" t="s">
        <v>343</v>
      </c>
      <c r="K16" t="s">
        <v>344</v>
      </c>
      <c r="L16">
        <v>1368</v>
      </c>
      <c r="N16">
        <v>1011</v>
      </c>
      <c r="O16" t="s">
        <v>331</v>
      </c>
      <c r="P16" t="s">
        <v>331</v>
      </c>
      <c r="Q16">
        <v>1</v>
      </c>
      <c r="W16">
        <v>0</v>
      </c>
      <c r="X16">
        <v>-1424728221</v>
      </c>
      <c r="Y16">
        <f t="shared" si="0"/>
        <v>0.2</v>
      </c>
      <c r="AA16">
        <v>0</v>
      </c>
      <c r="AB16">
        <v>1453.28</v>
      </c>
      <c r="AC16">
        <v>400.27</v>
      </c>
      <c r="AD16">
        <v>0</v>
      </c>
      <c r="AE16">
        <v>0</v>
      </c>
      <c r="AF16">
        <v>138.54</v>
      </c>
      <c r="AG16">
        <v>12.1</v>
      </c>
      <c r="AH16">
        <v>0</v>
      </c>
      <c r="AI16">
        <v>1</v>
      </c>
      <c r="AJ16">
        <v>10.49</v>
      </c>
      <c r="AK16">
        <v>33.08</v>
      </c>
      <c r="AL16">
        <v>1</v>
      </c>
      <c r="AM16">
        <v>2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0.2</v>
      </c>
      <c r="AU16" t="s">
        <v>3</v>
      </c>
      <c r="AV16">
        <v>0</v>
      </c>
      <c r="AW16">
        <v>2</v>
      </c>
      <c r="AX16">
        <v>92408455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V16">
        <v>0</v>
      </c>
      <c r="CW16">
        <f>ROUND(Y16*Source!I30,9)</f>
        <v>0.48</v>
      </c>
      <c r="CX16">
        <f>ROUND(Y16*Source!I30,9)</f>
        <v>0.48</v>
      </c>
      <c r="CY16">
        <f>AB16</f>
        <v>1453.28</v>
      </c>
      <c r="CZ16">
        <f>AF16</f>
        <v>138.54</v>
      </c>
      <c r="DA16">
        <f>AJ16</f>
        <v>10.49</v>
      </c>
      <c r="DB16">
        <f t="shared" si="1"/>
        <v>27.71</v>
      </c>
      <c r="DC16">
        <f t="shared" si="2"/>
        <v>2.42</v>
      </c>
      <c r="DD16" t="s">
        <v>3</v>
      </c>
      <c r="DE16" t="s">
        <v>3</v>
      </c>
      <c r="DF16">
        <f t="shared" si="3"/>
        <v>0</v>
      </c>
      <c r="DG16">
        <f>ROUND(ROUND(AF16*AJ16,2)*CX16,2)</f>
        <v>697.57</v>
      </c>
      <c r="DH16">
        <f>ROUND(ROUND(AG16*AK16,2)*CX16,2)</f>
        <v>192.13</v>
      </c>
      <c r="DI16">
        <f t="shared" si="4"/>
        <v>0</v>
      </c>
      <c r="DJ16">
        <f>DG16</f>
        <v>697.57</v>
      </c>
      <c r="DK16">
        <v>0</v>
      </c>
      <c r="DL16" t="s">
        <v>3</v>
      </c>
      <c r="DM16">
        <v>0</v>
      </c>
      <c r="DN16" t="s">
        <v>3</v>
      </c>
      <c r="DO16">
        <v>0</v>
      </c>
    </row>
    <row r="17" spans="1:119" x14ac:dyDescent="0.2">
      <c r="A17">
        <f>ROW(Source!A30)</f>
        <v>30</v>
      </c>
      <c r="B17">
        <v>92408302</v>
      </c>
      <c r="C17">
        <v>92408442</v>
      </c>
      <c r="D17">
        <v>37802530</v>
      </c>
      <c r="E17">
        <v>1</v>
      </c>
      <c r="F17">
        <v>1</v>
      </c>
      <c r="G17">
        <v>1</v>
      </c>
      <c r="H17">
        <v>2</v>
      </c>
      <c r="I17" t="s">
        <v>345</v>
      </c>
      <c r="J17" t="s">
        <v>346</v>
      </c>
      <c r="K17" t="s">
        <v>347</v>
      </c>
      <c r="L17">
        <v>1368</v>
      </c>
      <c r="N17">
        <v>1011</v>
      </c>
      <c r="O17" t="s">
        <v>331</v>
      </c>
      <c r="P17" t="s">
        <v>331</v>
      </c>
      <c r="Q17">
        <v>1</v>
      </c>
      <c r="W17">
        <v>0</v>
      </c>
      <c r="X17">
        <v>11972859</v>
      </c>
      <c r="Y17">
        <f t="shared" si="0"/>
        <v>5.14</v>
      </c>
      <c r="AA17">
        <v>0</v>
      </c>
      <c r="AB17">
        <v>8.09</v>
      </c>
      <c r="AC17">
        <v>0</v>
      </c>
      <c r="AD17">
        <v>0</v>
      </c>
      <c r="AE17">
        <v>0</v>
      </c>
      <c r="AF17">
        <v>1.52</v>
      </c>
      <c r="AG17">
        <v>0</v>
      </c>
      <c r="AH17">
        <v>0</v>
      </c>
      <c r="AI17">
        <v>1</v>
      </c>
      <c r="AJ17">
        <v>5.32</v>
      </c>
      <c r="AK17">
        <v>33.08</v>
      </c>
      <c r="AL17">
        <v>1</v>
      </c>
      <c r="AM17">
        <v>2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5.14</v>
      </c>
      <c r="AU17" t="s">
        <v>3</v>
      </c>
      <c r="AV17">
        <v>0</v>
      </c>
      <c r="AW17">
        <v>2</v>
      </c>
      <c r="AX17">
        <v>92408456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V17">
        <v>0</v>
      </c>
      <c r="CW17">
        <f>ROUND(Y17*Source!I30,9)</f>
        <v>12.336</v>
      </c>
      <c r="CX17">
        <f>ROUND(Y17*Source!I30,9)</f>
        <v>12.336</v>
      </c>
      <c r="CY17">
        <f>AB17</f>
        <v>8.09</v>
      </c>
      <c r="CZ17">
        <f>AF17</f>
        <v>1.52</v>
      </c>
      <c r="DA17">
        <f>AJ17</f>
        <v>5.32</v>
      </c>
      <c r="DB17">
        <f t="shared" si="1"/>
        <v>7.81</v>
      </c>
      <c r="DC17">
        <f t="shared" si="2"/>
        <v>0</v>
      </c>
      <c r="DD17" t="s">
        <v>3</v>
      </c>
      <c r="DE17" t="s">
        <v>3</v>
      </c>
      <c r="DF17">
        <f t="shared" si="3"/>
        <v>0</v>
      </c>
      <c r="DG17">
        <f>ROUND(ROUND(AF17*AJ17,2)*CX17,2)</f>
        <v>99.8</v>
      </c>
      <c r="DH17">
        <f>ROUND(ROUND(AG17*AK17,2)*CX17,2)</f>
        <v>0</v>
      </c>
      <c r="DI17">
        <f t="shared" si="4"/>
        <v>0</v>
      </c>
      <c r="DJ17">
        <f>DG17</f>
        <v>99.8</v>
      </c>
      <c r="DK17">
        <v>0</v>
      </c>
      <c r="DL17" t="s">
        <v>3</v>
      </c>
      <c r="DM17">
        <v>0</v>
      </c>
      <c r="DN17" t="s">
        <v>3</v>
      </c>
      <c r="DO17">
        <v>0</v>
      </c>
    </row>
    <row r="18" spans="1:119" x14ac:dyDescent="0.2">
      <c r="A18">
        <f>ROW(Source!A30)</f>
        <v>30</v>
      </c>
      <c r="B18">
        <v>92408302</v>
      </c>
      <c r="C18">
        <v>92408442</v>
      </c>
      <c r="D18">
        <v>37802544</v>
      </c>
      <c r="E18">
        <v>1</v>
      </c>
      <c r="F18">
        <v>1</v>
      </c>
      <c r="G18">
        <v>1</v>
      </c>
      <c r="H18">
        <v>2</v>
      </c>
      <c r="I18" t="s">
        <v>348</v>
      </c>
      <c r="J18" t="s">
        <v>349</v>
      </c>
      <c r="K18" t="s">
        <v>350</v>
      </c>
      <c r="L18">
        <v>1368</v>
      </c>
      <c r="N18">
        <v>1011</v>
      </c>
      <c r="O18" t="s">
        <v>331</v>
      </c>
      <c r="P18" t="s">
        <v>331</v>
      </c>
      <c r="Q18">
        <v>1</v>
      </c>
      <c r="W18">
        <v>0</v>
      </c>
      <c r="X18">
        <v>-892985829</v>
      </c>
      <c r="Y18">
        <f t="shared" si="0"/>
        <v>5.14</v>
      </c>
      <c r="AA18">
        <v>0</v>
      </c>
      <c r="AB18">
        <v>37.11</v>
      </c>
      <c r="AC18">
        <v>0</v>
      </c>
      <c r="AD18">
        <v>0</v>
      </c>
      <c r="AE18">
        <v>0</v>
      </c>
      <c r="AF18">
        <v>7.11</v>
      </c>
      <c r="AG18">
        <v>0</v>
      </c>
      <c r="AH18">
        <v>0</v>
      </c>
      <c r="AI18">
        <v>1</v>
      </c>
      <c r="AJ18">
        <v>5.22</v>
      </c>
      <c r="AK18">
        <v>33.08</v>
      </c>
      <c r="AL18">
        <v>1</v>
      </c>
      <c r="AM18">
        <v>2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5.14</v>
      </c>
      <c r="AU18" t="s">
        <v>3</v>
      </c>
      <c r="AV18">
        <v>0</v>
      </c>
      <c r="AW18">
        <v>2</v>
      </c>
      <c r="AX18">
        <v>92408457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V18">
        <v>0</v>
      </c>
      <c r="CW18">
        <f>ROUND(Y18*Source!I30,9)</f>
        <v>12.336</v>
      </c>
      <c r="CX18">
        <f>ROUND(Y18*Source!I30,9)</f>
        <v>12.336</v>
      </c>
      <c r="CY18">
        <f>AB18</f>
        <v>37.11</v>
      </c>
      <c r="CZ18">
        <f>AF18</f>
        <v>7.11</v>
      </c>
      <c r="DA18">
        <f>AJ18</f>
        <v>5.22</v>
      </c>
      <c r="DB18">
        <f t="shared" si="1"/>
        <v>36.549999999999997</v>
      </c>
      <c r="DC18">
        <f t="shared" si="2"/>
        <v>0</v>
      </c>
      <c r="DD18" t="s">
        <v>3</v>
      </c>
      <c r="DE18" t="s">
        <v>3</v>
      </c>
      <c r="DF18">
        <f t="shared" si="3"/>
        <v>0</v>
      </c>
      <c r="DG18">
        <f>ROUND(ROUND(AF18*AJ18,2)*CX18,2)</f>
        <v>457.79</v>
      </c>
      <c r="DH18">
        <f>ROUND(ROUND(AG18*AK18,2)*CX18,2)</f>
        <v>0</v>
      </c>
      <c r="DI18">
        <f t="shared" si="4"/>
        <v>0</v>
      </c>
      <c r="DJ18">
        <f>DG18</f>
        <v>457.79</v>
      </c>
      <c r="DK18">
        <v>0</v>
      </c>
      <c r="DL18" t="s">
        <v>3</v>
      </c>
      <c r="DM18">
        <v>0</v>
      </c>
      <c r="DN18" t="s">
        <v>3</v>
      </c>
      <c r="DO18">
        <v>0</v>
      </c>
    </row>
    <row r="19" spans="1:119" x14ac:dyDescent="0.2">
      <c r="A19">
        <f>ROW(Source!A30)</f>
        <v>30</v>
      </c>
      <c r="B19">
        <v>92408302</v>
      </c>
      <c r="C19">
        <v>92408442</v>
      </c>
      <c r="D19">
        <v>37804456</v>
      </c>
      <c r="E19">
        <v>1</v>
      </c>
      <c r="F19">
        <v>1</v>
      </c>
      <c r="G19">
        <v>1</v>
      </c>
      <c r="H19">
        <v>2</v>
      </c>
      <c r="I19" t="s">
        <v>339</v>
      </c>
      <c r="J19" t="s">
        <v>340</v>
      </c>
      <c r="K19" t="s">
        <v>341</v>
      </c>
      <c r="L19">
        <v>1368</v>
      </c>
      <c r="N19">
        <v>1011</v>
      </c>
      <c r="O19" t="s">
        <v>331</v>
      </c>
      <c r="P19" t="s">
        <v>331</v>
      </c>
      <c r="Q19">
        <v>1</v>
      </c>
      <c r="W19">
        <v>0</v>
      </c>
      <c r="X19">
        <v>-671646184</v>
      </c>
      <c r="Y19">
        <f t="shared" si="0"/>
        <v>0.2</v>
      </c>
      <c r="AA19">
        <v>0</v>
      </c>
      <c r="AB19">
        <v>1289.23</v>
      </c>
      <c r="AC19">
        <v>342.38</v>
      </c>
      <c r="AD19">
        <v>0</v>
      </c>
      <c r="AE19">
        <v>0</v>
      </c>
      <c r="AF19">
        <v>91.76</v>
      </c>
      <c r="AG19">
        <v>10.35</v>
      </c>
      <c r="AH19">
        <v>0</v>
      </c>
      <c r="AI19">
        <v>1</v>
      </c>
      <c r="AJ19">
        <v>14.05</v>
      </c>
      <c r="AK19">
        <v>33.08</v>
      </c>
      <c r="AL19">
        <v>1</v>
      </c>
      <c r="AM19">
        <v>2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0.2</v>
      </c>
      <c r="AU19" t="s">
        <v>3</v>
      </c>
      <c r="AV19">
        <v>0</v>
      </c>
      <c r="AW19">
        <v>2</v>
      </c>
      <c r="AX19">
        <v>92408458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V19">
        <v>0</v>
      </c>
      <c r="CW19">
        <f>ROUND(Y19*Source!I30,9)</f>
        <v>0.48</v>
      </c>
      <c r="CX19">
        <f>ROUND(Y19*Source!I30,9)</f>
        <v>0.48</v>
      </c>
      <c r="CY19">
        <f>AB19</f>
        <v>1289.23</v>
      </c>
      <c r="CZ19">
        <f>AF19</f>
        <v>91.76</v>
      </c>
      <c r="DA19">
        <f>AJ19</f>
        <v>14.05</v>
      </c>
      <c r="DB19">
        <f t="shared" si="1"/>
        <v>18.350000000000001</v>
      </c>
      <c r="DC19">
        <f t="shared" si="2"/>
        <v>2.0699999999999998</v>
      </c>
      <c r="DD19" t="s">
        <v>3</v>
      </c>
      <c r="DE19" t="s">
        <v>3</v>
      </c>
      <c r="DF19">
        <f t="shared" si="3"/>
        <v>0</v>
      </c>
      <c r="DG19">
        <f>ROUND(ROUND(AF19*AJ19,2)*CX19,2)</f>
        <v>618.83000000000004</v>
      </c>
      <c r="DH19">
        <f>ROUND(ROUND(AG19*AK19,2)*CX19,2)</f>
        <v>164.34</v>
      </c>
      <c r="DI19">
        <f t="shared" si="4"/>
        <v>0</v>
      </c>
      <c r="DJ19">
        <f>DG19</f>
        <v>618.83000000000004</v>
      </c>
      <c r="DK19">
        <v>0</v>
      </c>
      <c r="DL19" t="s">
        <v>3</v>
      </c>
      <c r="DM19">
        <v>0</v>
      </c>
      <c r="DN19" t="s">
        <v>3</v>
      </c>
      <c r="DO19">
        <v>0</v>
      </c>
    </row>
    <row r="20" spans="1:119" x14ac:dyDescent="0.2">
      <c r="A20">
        <f>ROW(Source!A30)</f>
        <v>30</v>
      </c>
      <c r="B20">
        <v>92408302</v>
      </c>
      <c r="C20">
        <v>92408442</v>
      </c>
      <c r="D20">
        <v>37733003</v>
      </c>
      <c r="E20">
        <v>1</v>
      </c>
      <c r="F20">
        <v>1</v>
      </c>
      <c r="G20">
        <v>1</v>
      </c>
      <c r="H20">
        <v>3</v>
      </c>
      <c r="I20" t="s">
        <v>351</v>
      </c>
      <c r="J20" t="s">
        <v>352</v>
      </c>
      <c r="K20" t="s">
        <v>353</v>
      </c>
      <c r="L20">
        <v>1308</v>
      </c>
      <c r="N20">
        <v>1003</v>
      </c>
      <c r="O20" t="s">
        <v>66</v>
      </c>
      <c r="P20" t="s">
        <v>66</v>
      </c>
      <c r="Q20">
        <v>100</v>
      </c>
      <c r="W20">
        <v>0</v>
      </c>
      <c r="X20">
        <v>-737867663</v>
      </c>
      <c r="Y20">
        <f t="shared" si="0"/>
        <v>9.5999999999999992E-3</v>
      </c>
      <c r="AA20">
        <v>767.34</v>
      </c>
      <c r="AB20">
        <v>0</v>
      </c>
      <c r="AC20">
        <v>0</v>
      </c>
      <c r="AD20">
        <v>0</v>
      </c>
      <c r="AE20">
        <v>121.8</v>
      </c>
      <c r="AF20">
        <v>0</v>
      </c>
      <c r="AG20">
        <v>0</v>
      </c>
      <c r="AH20">
        <v>0</v>
      </c>
      <c r="AI20">
        <v>6.3</v>
      </c>
      <c r="AJ20">
        <v>1</v>
      </c>
      <c r="AK20">
        <v>1</v>
      </c>
      <c r="AL20">
        <v>1</v>
      </c>
      <c r="AM20">
        <v>2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9.5999999999999992E-3</v>
      </c>
      <c r="AU20" t="s">
        <v>3</v>
      </c>
      <c r="AV20">
        <v>0</v>
      </c>
      <c r="AW20">
        <v>2</v>
      </c>
      <c r="AX20">
        <v>92408459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V20">
        <v>0</v>
      </c>
      <c r="CW20">
        <v>0</v>
      </c>
      <c r="CX20">
        <f>ROUND(Y20*Source!I30,9)</f>
        <v>2.3040000000000001E-2</v>
      </c>
      <c r="CY20">
        <f>AA20</f>
        <v>767.34</v>
      </c>
      <c r="CZ20">
        <f>AE20</f>
        <v>121.8</v>
      </c>
      <c r="DA20">
        <f>AI20</f>
        <v>6.3</v>
      </c>
      <c r="DB20">
        <f t="shared" si="1"/>
        <v>1.17</v>
      </c>
      <c r="DC20">
        <f t="shared" si="2"/>
        <v>0</v>
      </c>
      <c r="DD20" t="s">
        <v>3</v>
      </c>
      <c r="DE20" t="s">
        <v>3</v>
      </c>
      <c r="DF20">
        <f>ROUND(ROUND(AE20*AI20,2)*CX20,2)</f>
        <v>17.68</v>
      </c>
      <c r="DG20">
        <f t="shared" ref="DG20:DG25" si="5">ROUND(ROUND(AF20,2)*CX20,2)</f>
        <v>0</v>
      </c>
      <c r="DH20">
        <f t="shared" ref="DH20:DH25" si="6">ROUND(ROUND(AG20,2)*CX20,2)</f>
        <v>0</v>
      </c>
      <c r="DI20">
        <f t="shared" si="4"/>
        <v>0</v>
      </c>
      <c r="DJ20">
        <f>DF20</f>
        <v>17.68</v>
      </c>
      <c r="DK20">
        <v>0</v>
      </c>
      <c r="DL20" t="s">
        <v>3</v>
      </c>
      <c r="DM20">
        <v>0</v>
      </c>
      <c r="DN20" t="s">
        <v>3</v>
      </c>
      <c r="DO20">
        <v>0</v>
      </c>
    </row>
    <row r="21" spans="1:119" x14ac:dyDescent="0.2">
      <c r="A21">
        <f>ROW(Source!A30)</f>
        <v>30</v>
      </c>
      <c r="B21">
        <v>92408302</v>
      </c>
      <c r="C21">
        <v>92408442</v>
      </c>
      <c r="D21">
        <v>37745017</v>
      </c>
      <c r="E21">
        <v>1</v>
      </c>
      <c r="F21">
        <v>1</v>
      </c>
      <c r="G21">
        <v>1</v>
      </c>
      <c r="H21">
        <v>3</v>
      </c>
      <c r="I21" t="s">
        <v>354</v>
      </c>
      <c r="J21" t="s">
        <v>355</v>
      </c>
      <c r="K21" t="s">
        <v>356</v>
      </c>
      <c r="L21">
        <v>1348</v>
      </c>
      <c r="N21">
        <v>1009</v>
      </c>
      <c r="O21" t="s">
        <v>97</v>
      </c>
      <c r="P21" t="s">
        <v>97</v>
      </c>
      <c r="Q21">
        <v>1000</v>
      </c>
      <c r="W21">
        <v>0</v>
      </c>
      <c r="X21">
        <v>-1286039561</v>
      </c>
      <c r="Y21">
        <f t="shared" si="0"/>
        <v>6.0000000000000002E-5</v>
      </c>
      <c r="AA21">
        <v>77557.919999999998</v>
      </c>
      <c r="AB21">
        <v>0</v>
      </c>
      <c r="AC21">
        <v>0</v>
      </c>
      <c r="AD21">
        <v>0</v>
      </c>
      <c r="AE21">
        <v>9528</v>
      </c>
      <c r="AF21">
        <v>0</v>
      </c>
      <c r="AG21">
        <v>0</v>
      </c>
      <c r="AH21">
        <v>0</v>
      </c>
      <c r="AI21">
        <v>8.14</v>
      </c>
      <c r="AJ21">
        <v>1</v>
      </c>
      <c r="AK21">
        <v>1</v>
      </c>
      <c r="AL21">
        <v>1</v>
      </c>
      <c r="AM21">
        <v>2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6.0000000000000002E-5</v>
      </c>
      <c r="AU21" t="s">
        <v>3</v>
      </c>
      <c r="AV21">
        <v>0</v>
      </c>
      <c r="AW21">
        <v>2</v>
      </c>
      <c r="AX21">
        <v>92408460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V21">
        <v>0</v>
      </c>
      <c r="CW21">
        <v>0</v>
      </c>
      <c r="CX21">
        <f>ROUND(Y21*Source!I30,9)</f>
        <v>1.44E-4</v>
      </c>
      <c r="CY21">
        <f>AA21</f>
        <v>77557.919999999998</v>
      </c>
      <c r="CZ21">
        <f>AE21</f>
        <v>9528</v>
      </c>
      <c r="DA21">
        <f>AI21</f>
        <v>8.14</v>
      </c>
      <c r="DB21">
        <f t="shared" si="1"/>
        <v>0.56999999999999995</v>
      </c>
      <c r="DC21">
        <f t="shared" si="2"/>
        <v>0</v>
      </c>
      <c r="DD21" t="s">
        <v>3</v>
      </c>
      <c r="DE21" t="s">
        <v>3</v>
      </c>
      <c r="DF21">
        <f>ROUND(ROUND(AE21*AI21,2)*CX21,2)</f>
        <v>11.17</v>
      </c>
      <c r="DG21">
        <f t="shared" si="5"/>
        <v>0</v>
      </c>
      <c r="DH21">
        <f t="shared" si="6"/>
        <v>0</v>
      </c>
      <c r="DI21">
        <f t="shared" si="4"/>
        <v>0</v>
      </c>
      <c r="DJ21">
        <f>DF21</f>
        <v>11.17</v>
      </c>
      <c r="DK21">
        <v>0</v>
      </c>
      <c r="DL21" t="s">
        <v>3</v>
      </c>
      <c r="DM21">
        <v>0</v>
      </c>
      <c r="DN21" t="s">
        <v>3</v>
      </c>
      <c r="DO21">
        <v>0</v>
      </c>
    </row>
    <row r="22" spans="1:119" x14ac:dyDescent="0.2">
      <c r="A22">
        <f>ROW(Source!A30)</f>
        <v>30</v>
      </c>
      <c r="B22">
        <v>92408302</v>
      </c>
      <c r="C22">
        <v>92408442</v>
      </c>
      <c r="D22">
        <v>37785796</v>
      </c>
      <c r="E22">
        <v>1</v>
      </c>
      <c r="F22">
        <v>1</v>
      </c>
      <c r="G22">
        <v>1</v>
      </c>
      <c r="H22">
        <v>3</v>
      </c>
      <c r="I22" t="s">
        <v>59</v>
      </c>
      <c r="J22" t="s">
        <v>62</v>
      </c>
      <c r="K22" t="s">
        <v>60</v>
      </c>
      <c r="L22">
        <v>1346</v>
      </c>
      <c r="N22">
        <v>1009</v>
      </c>
      <c r="O22" t="s">
        <v>61</v>
      </c>
      <c r="P22" t="s">
        <v>61</v>
      </c>
      <c r="Q22">
        <v>1</v>
      </c>
      <c r="W22">
        <v>1</v>
      </c>
      <c r="X22">
        <v>904967830</v>
      </c>
      <c r="Y22">
        <f t="shared" si="0"/>
        <v>-0.5</v>
      </c>
      <c r="AA22">
        <v>799.53</v>
      </c>
      <c r="AB22">
        <v>0</v>
      </c>
      <c r="AC22">
        <v>0</v>
      </c>
      <c r="AD22">
        <v>0</v>
      </c>
      <c r="AE22">
        <v>71.45</v>
      </c>
      <c r="AF22">
        <v>0</v>
      </c>
      <c r="AG22">
        <v>0</v>
      </c>
      <c r="AH22">
        <v>0</v>
      </c>
      <c r="AI22">
        <v>11.19</v>
      </c>
      <c r="AJ22">
        <v>1</v>
      </c>
      <c r="AK22">
        <v>1</v>
      </c>
      <c r="AL22">
        <v>1</v>
      </c>
      <c r="AM22">
        <v>2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-0.5</v>
      </c>
      <c r="AU22" t="s">
        <v>3</v>
      </c>
      <c r="AV22">
        <v>0</v>
      </c>
      <c r="AW22">
        <v>2</v>
      </c>
      <c r="AX22">
        <v>92408461</v>
      </c>
      <c r="AY22">
        <v>1</v>
      </c>
      <c r="AZ22">
        <v>6144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V22">
        <v>0</v>
      </c>
      <c r="CW22">
        <v>0</v>
      </c>
      <c r="CX22">
        <f>ROUND(Y22*Source!I30,9)</f>
        <v>-1.2</v>
      </c>
      <c r="CY22">
        <f>AA22</f>
        <v>799.53</v>
      </c>
      <c r="CZ22">
        <f>AE22</f>
        <v>71.45</v>
      </c>
      <c r="DA22">
        <f>AI22</f>
        <v>11.19</v>
      </c>
      <c r="DB22">
        <f t="shared" si="1"/>
        <v>-35.729999999999997</v>
      </c>
      <c r="DC22">
        <f t="shared" si="2"/>
        <v>0</v>
      </c>
      <c r="DD22" t="s">
        <v>3</v>
      </c>
      <c r="DE22" t="s">
        <v>3</v>
      </c>
      <c r="DF22">
        <f>ROUND(ROUND(AE22*AI22,2)*CX22,2)</f>
        <v>-959.44</v>
      </c>
      <c r="DG22">
        <f t="shared" si="5"/>
        <v>0</v>
      </c>
      <c r="DH22">
        <f t="shared" si="6"/>
        <v>0</v>
      </c>
      <c r="DI22">
        <f t="shared" si="4"/>
        <v>0</v>
      </c>
      <c r="DJ22">
        <f>DF22</f>
        <v>-959.44</v>
      </c>
      <c r="DK22">
        <v>0</v>
      </c>
      <c r="DL22" t="s">
        <v>3</v>
      </c>
      <c r="DM22">
        <v>0</v>
      </c>
      <c r="DN22" t="s">
        <v>3</v>
      </c>
      <c r="DO22">
        <v>0</v>
      </c>
    </row>
    <row r="23" spans="1:119" x14ac:dyDescent="0.2">
      <c r="A23">
        <f>ROW(Source!A30)</f>
        <v>30</v>
      </c>
      <c r="B23">
        <v>92408302</v>
      </c>
      <c r="C23">
        <v>92408442</v>
      </c>
      <c r="D23">
        <v>37801918</v>
      </c>
      <c r="E23">
        <v>1</v>
      </c>
      <c r="F23">
        <v>1</v>
      </c>
      <c r="G23">
        <v>1</v>
      </c>
      <c r="H23">
        <v>3</v>
      </c>
      <c r="I23" t="s">
        <v>100</v>
      </c>
      <c r="J23" t="s">
        <v>103</v>
      </c>
      <c r="K23" t="s">
        <v>101</v>
      </c>
      <c r="L23">
        <v>1374</v>
      </c>
      <c r="N23">
        <v>1013</v>
      </c>
      <c r="O23" t="s">
        <v>102</v>
      </c>
      <c r="P23" t="s">
        <v>102</v>
      </c>
      <c r="Q23">
        <v>1</v>
      </c>
      <c r="W23">
        <v>0</v>
      </c>
      <c r="X23">
        <v>2131831278</v>
      </c>
      <c r="Y23">
        <f t="shared" si="0"/>
        <v>4.1399999999999997</v>
      </c>
      <c r="AA23">
        <v>1</v>
      </c>
      <c r="AB23">
        <v>0</v>
      </c>
      <c r="AC23">
        <v>0</v>
      </c>
      <c r="AD23">
        <v>0</v>
      </c>
      <c r="AE23">
        <v>1</v>
      </c>
      <c r="AF23">
        <v>0</v>
      </c>
      <c r="AG23">
        <v>0</v>
      </c>
      <c r="AH23">
        <v>0</v>
      </c>
      <c r="AI23">
        <v>1</v>
      </c>
      <c r="AJ23">
        <v>1</v>
      </c>
      <c r="AK23">
        <v>1</v>
      </c>
      <c r="AL23">
        <v>1</v>
      </c>
      <c r="AM23">
        <v>-2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4.1399999999999997</v>
      </c>
      <c r="AU23" t="s">
        <v>3</v>
      </c>
      <c r="AV23">
        <v>0</v>
      </c>
      <c r="AW23">
        <v>2</v>
      </c>
      <c r="AX23">
        <v>92408462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V23">
        <v>0</v>
      </c>
      <c r="CW23">
        <v>0</v>
      </c>
      <c r="CX23">
        <f>ROUND(Y23*Source!I30,9)</f>
        <v>9.9359999999999999</v>
      </c>
      <c r="CY23">
        <f>AA23</f>
        <v>1</v>
      </c>
      <c r="CZ23">
        <f>AE23</f>
        <v>1</v>
      </c>
      <c r="DA23">
        <f>AI23</f>
        <v>1</v>
      </c>
      <c r="DB23">
        <f t="shared" si="1"/>
        <v>4.1399999999999997</v>
      </c>
      <c r="DC23">
        <f t="shared" si="2"/>
        <v>0</v>
      </c>
      <c r="DD23" t="s">
        <v>3</v>
      </c>
      <c r="DE23" t="s">
        <v>3</v>
      </c>
      <c r="DF23">
        <f t="shared" ref="DF23:DF28" si="7">ROUND(ROUND(AE23,2)*CX23,2)</f>
        <v>9.94</v>
      </c>
      <c r="DG23">
        <f t="shared" si="5"/>
        <v>0</v>
      </c>
      <c r="DH23">
        <f t="shared" si="6"/>
        <v>0</v>
      </c>
      <c r="DI23">
        <f t="shared" si="4"/>
        <v>0</v>
      </c>
      <c r="DJ23">
        <f>DF23</f>
        <v>9.94</v>
      </c>
      <c r="DK23">
        <v>0</v>
      </c>
      <c r="DL23" t="s">
        <v>3</v>
      </c>
      <c r="DM23">
        <v>0</v>
      </c>
      <c r="DN23" t="s">
        <v>3</v>
      </c>
      <c r="DO23">
        <v>0</v>
      </c>
    </row>
    <row r="24" spans="1:119" x14ac:dyDescent="0.2">
      <c r="A24">
        <f>ROW(Source!A32)</f>
        <v>32</v>
      </c>
      <c r="B24">
        <v>92408302</v>
      </c>
      <c r="C24">
        <v>92408786</v>
      </c>
      <c r="D24">
        <v>23351341</v>
      </c>
      <c r="E24">
        <v>1</v>
      </c>
      <c r="F24">
        <v>1</v>
      </c>
      <c r="G24">
        <v>1</v>
      </c>
      <c r="H24">
        <v>1</v>
      </c>
      <c r="I24" t="s">
        <v>357</v>
      </c>
      <c r="J24" t="s">
        <v>3</v>
      </c>
      <c r="K24" t="s">
        <v>358</v>
      </c>
      <c r="L24">
        <v>1369</v>
      </c>
      <c r="N24">
        <v>1013</v>
      </c>
      <c r="O24" t="s">
        <v>325</v>
      </c>
      <c r="P24" t="s">
        <v>325</v>
      </c>
      <c r="Q24">
        <v>1</v>
      </c>
      <c r="W24">
        <v>0</v>
      </c>
      <c r="X24">
        <v>1903430866</v>
      </c>
      <c r="Y24">
        <f t="shared" si="0"/>
        <v>23.52</v>
      </c>
      <c r="AA24">
        <v>0</v>
      </c>
      <c r="AB24">
        <v>0</v>
      </c>
      <c r="AC24">
        <v>0</v>
      </c>
      <c r="AD24">
        <v>8.7899999999999991</v>
      </c>
      <c r="AE24">
        <v>0</v>
      </c>
      <c r="AF24">
        <v>0</v>
      </c>
      <c r="AG24">
        <v>0</v>
      </c>
      <c r="AH24">
        <v>8.7899999999999991</v>
      </c>
      <c r="AI24">
        <v>1</v>
      </c>
      <c r="AJ24">
        <v>1</v>
      </c>
      <c r="AK24">
        <v>1</v>
      </c>
      <c r="AL24">
        <v>1</v>
      </c>
      <c r="AM24">
        <v>-2</v>
      </c>
      <c r="AN24">
        <v>0</v>
      </c>
      <c r="AO24">
        <v>1</v>
      </c>
      <c r="AP24">
        <v>1</v>
      </c>
      <c r="AQ24">
        <v>0</v>
      </c>
      <c r="AR24">
        <v>0</v>
      </c>
      <c r="AS24" t="s">
        <v>3</v>
      </c>
      <c r="AT24">
        <v>23.52</v>
      </c>
      <c r="AU24" t="s">
        <v>3</v>
      </c>
      <c r="AV24">
        <v>1</v>
      </c>
      <c r="AW24">
        <v>2</v>
      </c>
      <c r="AX24">
        <v>92408793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U24">
        <f>ROUND(AT24*Source!I32*AH24*AL24,2)</f>
        <v>45.48</v>
      </c>
      <c r="CV24">
        <f>ROUND(Y24*Source!I32,9)</f>
        <v>5.1744000000000003</v>
      </c>
      <c r="CW24">
        <v>0</v>
      </c>
      <c r="CX24">
        <f>ROUND(Y24*Source!I32,9)</f>
        <v>5.1744000000000003</v>
      </c>
      <c r="CY24">
        <f>AD24</f>
        <v>8.7899999999999991</v>
      </c>
      <c r="CZ24">
        <f>AH24</f>
        <v>8.7899999999999991</v>
      </c>
      <c r="DA24">
        <f>AL24</f>
        <v>1</v>
      </c>
      <c r="DB24">
        <f t="shared" si="1"/>
        <v>206.74</v>
      </c>
      <c r="DC24">
        <f t="shared" si="2"/>
        <v>0</v>
      </c>
      <c r="DD24" t="s">
        <v>3</v>
      </c>
      <c r="DE24" t="s">
        <v>3</v>
      </c>
      <c r="DF24">
        <f t="shared" si="7"/>
        <v>0</v>
      </c>
      <c r="DG24">
        <f t="shared" si="5"/>
        <v>0</v>
      </c>
      <c r="DH24">
        <f t="shared" si="6"/>
        <v>0</v>
      </c>
      <c r="DI24">
        <f t="shared" si="4"/>
        <v>45.48</v>
      </c>
      <c r="DJ24">
        <f>DI24</f>
        <v>45.48</v>
      </c>
      <c r="DK24">
        <v>0</v>
      </c>
      <c r="DL24" t="s">
        <v>3</v>
      </c>
      <c r="DM24">
        <v>0</v>
      </c>
      <c r="DN24" t="s">
        <v>3</v>
      </c>
      <c r="DO24">
        <v>0</v>
      </c>
    </row>
    <row r="25" spans="1:119" x14ac:dyDescent="0.2">
      <c r="A25">
        <f>ROW(Source!A32)</f>
        <v>32</v>
      </c>
      <c r="B25">
        <v>92408302</v>
      </c>
      <c r="C25">
        <v>92408786</v>
      </c>
      <c r="D25">
        <v>121548</v>
      </c>
      <c r="E25">
        <v>1</v>
      </c>
      <c r="F25">
        <v>1</v>
      </c>
      <c r="G25">
        <v>1</v>
      </c>
      <c r="H25">
        <v>1</v>
      </c>
      <c r="I25" t="s">
        <v>24</v>
      </c>
      <c r="J25" t="s">
        <v>3</v>
      </c>
      <c r="K25" t="s">
        <v>326</v>
      </c>
      <c r="L25">
        <v>608254</v>
      </c>
      <c r="N25">
        <v>1013</v>
      </c>
      <c r="O25" t="s">
        <v>327</v>
      </c>
      <c r="P25" t="s">
        <v>327</v>
      </c>
      <c r="Q25">
        <v>1</v>
      </c>
      <c r="W25">
        <v>0</v>
      </c>
      <c r="X25">
        <v>-185737400</v>
      </c>
      <c r="Y25">
        <f t="shared" si="0"/>
        <v>0.1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1</v>
      </c>
      <c r="AJ25">
        <v>1</v>
      </c>
      <c r="AK25">
        <v>1</v>
      </c>
      <c r="AL25">
        <v>1</v>
      </c>
      <c r="AM25">
        <v>-2</v>
      </c>
      <c r="AN25">
        <v>0</v>
      </c>
      <c r="AO25">
        <v>1</v>
      </c>
      <c r="AP25">
        <v>1</v>
      </c>
      <c r="AQ25">
        <v>0</v>
      </c>
      <c r="AR25">
        <v>0</v>
      </c>
      <c r="AS25" t="s">
        <v>3</v>
      </c>
      <c r="AT25">
        <v>0.1</v>
      </c>
      <c r="AU25" t="s">
        <v>3</v>
      </c>
      <c r="AV25">
        <v>2</v>
      </c>
      <c r="AW25">
        <v>2</v>
      </c>
      <c r="AX25">
        <v>92408794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V25">
        <v>0</v>
      </c>
      <c r="CW25">
        <v>0</v>
      </c>
      <c r="CX25">
        <f>ROUND(Y25*Source!I32,9)</f>
        <v>2.1999999999999999E-2</v>
      </c>
      <c r="CY25">
        <f>AD25</f>
        <v>0</v>
      </c>
      <c r="CZ25">
        <f>AH25</f>
        <v>0</v>
      </c>
      <c r="DA25">
        <f>AL25</f>
        <v>1</v>
      </c>
      <c r="DB25">
        <f t="shared" si="1"/>
        <v>0</v>
      </c>
      <c r="DC25">
        <f t="shared" si="2"/>
        <v>0</v>
      </c>
      <c r="DD25" t="s">
        <v>3</v>
      </c>
      <c r="DE25" t="s">
        <v>3</v>
      </c>
      <c r="DF25">
        <f t="shared" si="7"/>
        <v>0</v>
      </c>
      <c r="DG25">
        <f t="shared" si="5"/>
        <v>0</v>
      </c>
      <c r="DH25">
        <f t="shared" si="6"/>
        <v>0</v>
      </c>
      <c r="DI25">
        <f t="shared" si="4"/>
        <v>0</v>
      </c>
      <c r="DJ25">
        <f>DI25</f>
        <v>0</v>
      </c>
      <c r="DK25">
        <v>0</v>
      </c>
      <c r="DL25" t="s">
        <v>3</v>
      </c>
      <c r="DM25">
        <v>0</v>
      </c>
      <c r="DN25" t="s">
        <v>3</v>
      </c>
      <c r="DO25">
        <v>0</v>
      </c>
    </row>
    <row r="26" spans="1:119" x14ac:dyDescent="0.2">
      <c r="A26">
        <f>ROW(Source!A32)</f>
        <v>32</v>
      </c>
      <c r="B26">
        <v>92408302</v>
      </c>
      <c r="C26">
        <v>92408786</v>
      </c>
      <c r="D26">
        <v>37802432</v>
      </c>
      <c r="E26">
        <v>1</v>
      </c>
      <c r="F26">
        <v>1</v>
      </c>
      <c r="G26">
        <v>1</v>
      </c>
      <c r="H26">
        <v>2</v>
      </c>
      <c r="I26" t="s">
        <v>342</v>
      </c>
      <c r="J26" t="s">
        <v>343</v>
      </c>
      <c r="K26" t="s">
        <v>344</v>
      </c>
      <c r="L26">
        <v>1368</v>
      </c>
      <c r="N26">
        <v>1011</v>
      </c>
      <c r="O26" t="s">
        <v>331</v>
      </c>
      <c r="P26" t="s">
        <v>331</v>
      </c>
      <c r="Q26">
        <v>1</v>
      </c>
      <c r="W26">
        <v>0</v>
      </c>
      <c r="X26">
        <v>-1424728221</v>
      </c>
      <c r="Y26">
        <f t="shared" si="0"/>
        <v>0.1</v>
      </c>
      <c r="AA26">
        <v>0</v>
      </c>
      <c r="AB26">
        <v>1453.28</v>
      </c>
      <c r="AC26">
        <v>400.27</v>
      </c>
      <c r="AD26">
        <v>0</v>
      </c>
      <c r="AE26">
        <v>0</v>
      </c>
      <c r="AF26">
        <v>138.54</v>
      </c>
      <c r="AG26">
        <v>12.1</v>
      </c>
      <c r="AH26">
        <v>0</v>
      </c>
      <c r="AI26">
        <v>1</v>
      </c>
      <c r="AJ26">
        <v>10.49</v>
      </c>
      <c r="AK26">
        <v>33.08</v>
      </c>
      <c r="AL26">
        <v>1</v>
      </c>
      <c r="AM26">
        <v>2</v>
      </c>
      <c r="AN26">
        <v>0</v>
      </c>
      <c r="AO26">
        <v>1</v>
      </c>
      <c r="AP26">
        <v>1</v>
      </c>
      <c r="AQ26">
        <v>0</v>
      </c>
      <c r="AR26">
        <v>0</v>
      </c>
      <c r="AS26" t="s">
        <v>3</v>
      </c>
      <c r="AT26">
        <v>0.1</v>
      </c>
      <c r="AU26" t="s">
        <v>3</v>
      </c>
      <c r="AV26">
        <v>0</v>
      </c>
      <c r="AW26">
        <v>2</v>
      </c>
      <c r="AX26">
        <v>92408795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V26">
        <v>0</v>
      </c>
      <c r="CW26">
        <f>ROUND(Y26*Source!I32,9)</f>
        <v>2.1999999999999999E-2</v>
      </c>
      <c r="CX26">
        <f>ROUND(Y26*Source!I32,9)</f>
        <v>2.1999999999999999E-2</v>
      </c>
      <c r="CY26">
        <f>AB26</f>
        <v>1453.28</v>
      </c>
      <c r="CZ26">
        <f>AF26</f>
        <v>138.54</v>
      </c>
      <c r="DA26">
        <f>AJ26</f>
        <v>10.49</v>
      </c>
      <c r="DB26">
        <f t="shared" si="1"/>
        <v>13.85</v>
      </c>
      <c r="DC26">
        <f t="shared" si="2"/>
        <v>1.21</v>
      </c>
      <c r="DD26" t="s">
        <v>3</v>
      </c>
      <c r="DE26" t="s">
        <v>3</v>
      </c>
      <c r="DF26">
        <f t="shared" si="7"/>
        <v>0</v>
      </c>
      <c r="DG26">
        <f>ROUND(ROUND(AF26*AJ26,2)*CX26,2)</f>
        <v>31.97</v>
      </c>
      <c r="DH26">
        <f>ROUND(ROUND(AG26*AK26,2)*CX26,2)</f>
        <v>8.81</v>
      </c>
      <c r="DI26">
        <f t="shared" si="4"/>
        <v>0</v>
      </c>
      <c r="DJ26">
        <f>DG26</f>
        <v>31.97</v>
      </c>
      <c r="DK26">
        <v>0</v>
      </c>
      <c r="DL26" t="s">
        <v>3</v>
      </c>
      <c r="DM26">
        <v>0</v>
      </c>
      <c r="DN26" t="s">
        <v>3</v>
      </c>
      <c r="DO26">
        <v>0</v>
      </c>
    </row>
    <row r="27" spans="1:119" x14ac:dyDescent="0.2">
      <c r="A27">
        <f>ROW(Source!A32)</f>
        <v>32</v>
      </c>
      <c r="B27">
        <v>92408302</v>
      </c>
      <c r="C27">
        <v>92408786</v>
      </c>
      <c r="D27">
        <v>37802657</v>
      </c>
      <c r="E27">
        <v>1</v>
      </c>
      <c r="F27">
        <v>1</v>
      </c>
      <c r="G27">
        <v>1</v>
      </c>
      <c r="H27">
        <v>2</v>
      </c>
      <c r="I27" t="s">
        <v>359</v>
      </c>
      <c r="J27" t="s">
        <v>360</v>
      </c>
      <c r="K27" t="s">
        <v>361</v>
      </c>
      <c r="L27">
        <v>1368</v>
      </c>
      <c r="N27">
        <v>1011</v>
      </c>
      <c r="O27" t="s">
        <v>331</v>
      </c>
      <c r="P27" t="s">
        <v>331</v>
      </c>
      <c r="Q27">
        <v>1</v>
      </c>
      <c r="W27">
        <v>0</v>
      </c>
      <c r="X27">
        <v>1084334125</v>
      </c>
      <c r="Y27">
        <f t="shared" si="0"/>
        <v>1.73</v>
      </c>
      <c r="AA27">
        <v>0</v>
      </c>
      <c r="AB27">
        <v>51.34</v>
      </c>
      <c r="AC27">
        <v>0</v>
      </c>
      <c r="AD27">
        <v>0</v>
      </c>
      <c r="AE27">
        <v>0</v>
      </c>
      <c r="AF27">
        <v>7.55</v>
      </c>
      <c r="AG27">
        <v>0</v>
      </c>
      <c r="AH27">
        <v>0</v>
      </c>
      <c r="AI27">
        <v>1</v>
      </c>
      <c r="AJ27">
        <v>6.8</v>
      </c>
      <c r="AK27">
        <v>33.08</v>
      </c>
      <c r="AL27">
        <v>1</v>
      </c>
      <c r="AM27">
        <v>2</v>
      </c>
      <c r="AN27">
        <v>0</v>
      </c>
      <c r="AO27">
        <v>1</v>
      </c>
      <c r="AP27">
        <v>1</v>
      </c>
      <c r="AQ27">
        <v>0</v>
      </c>
      <c r="AR27">
        <v>0</v>
      </c>
      <c r="AS27" t="s">
        <v>3</v>
      </c>
      <c r="AT27">
        <v>1.73</v>
      </c>
      <c r="AU27" t="s">
        <v>3</v>
      </c>
      <c r="AV27">
        <v>0</v>
      </c>
      <c r="AW27">
        <v>2</v>
      </c>
      <c r="AX27">
        <v>92408796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V27">
        <v>0</v>
      </c>
      <c r="CW27">
        <f>ROUND(Y27*Source!I32,9)</f>
        <v>0.38059999999999999</v>
      </c>
      <c r="CX27">
        <f>ROUND(Y27*Source!I32,9)</f>
        <v>0.38059999999999999</v>
      </c>
      <c r="CY27">
        <f>AB27</f>
        <v>51.34</v>
      </c>
      <c r="CZ27">
        <f>AF27</f>
        <v>7.55</v>
      </c>
      <c r="DA27">
        <f>AJ27</f>
        <v>6.8</v>
      </c>
      <c r="DB27">
        <f t="shared" si="1"/>
        <v>13.06</v>
      </c>
      <c r="DC27">
        <f t="shared" si="2"/>
        <v>0</v>
      </c>
      <c r="DD27" t="s">
        <v>3</v>
      </c>
      <c r="DE27" t="s">
        <v>3</v>
      </c>
      <c r="DF27">
        <f t="shared" si="7"/>
        <v>0</v>
      </c>
      <c r="DG27">
        <f>ROUND(ROUND(AF27*AJ27,2)*CX27,2)</f>
        <v>19.54</v>
      </c>
      <c r="DH27">
        <f>ROUND(ROUND(AG27*AK27,2)*CX27,2)</f>
        <v>0</v>
      </c>
      <c r="DI27">
        <f t="shared" si="4"/>
        <v>0</v>
      </c>
      <c r="DJ27">
        <f>DG27</f>
        <v>19.54</v>
      </c>
      <c r="DK27">
        <v>0</v>
      </c>
      <c r="DL27" t="s">
        <v>3</v>
      </c>
      <c r="DM27">
        <v>0</v>
      </c>
      <c r="DN27" t="s">
        <v>3</v>
      </c>
      <c r="DO27">
        <v>0</v>
      </c>
    </row>
    <row r="28" spans="1:119" x14ac:dyDescent="0.2">
      <c r="A28">
        <f>ROW(Source!A32)</f>
        <v>32</v>
      </c>
      <c r="B28">
        <v>92408302</v>
      </c>
      <c r="C28">
        <v>92408786</v>
      </c>
      <c r="D28">
        <v>37804456</v>
      </c>
      <c r="E28">
        <v>1</v>
      </c>
      <c r="F28">
        <v>1</v>
      </c>
      <c r="G28">
        <v>1</v>
      </c>
      <c r="H28">
        <v>2</v>
      </c>
      <c r="I28" t="s">
        <v>339</v>
      </c>
      <c r="J28" t="s">
        <v>340</v>
      </c>
      <c r="K28" t="s">
        <v>341</v>
      </c>
      <c r="L28">
        <v>1368</v>
      </c>
      <c r="N28">
        <v>1011</v>
      </c>
      <c r="O28" t="s">
        <v>331</v>
      </c>
      <c r="P28" t="s">
        <v>331</v>
      </c>
      <c r="Q28">
        <v>1</v>
      </c>
      <c r="W28">
        <v>0</v>
      </c>
      <c r="X28">
        <v>-671646184</v>
      </c>
      <c r="Y28">
        <f t="shared" si="0"/>
        <v>0.1</v>
      </c>
      <c r="AA28">
        <v>0</v>
      </c>
      <c r="AB28">
        <v>1289.23</v>
      </c>
      <c r="AC28">
        <v>342.38</v>
      </c>
      <c r="AD28">
        <v>0</v>
      </c>
      <c r="AE28">
        <v>0</v>
      </c>
      <c r="AF28">
        <v>91.76</v>
      </c>
      <c r="AG28">
        <v>10.35</v>
      </c>
      <c r="AH28">
        <v>0</v>
      </c>
      <c r="AI28">
        <v>1</v>
      </c>
      <c r="AJ28">
        <v>14.05</v>
      </c>
      <c r="AK28">
        <v>33.08</v>
      </c>
      <c r="AL28">
        <v>1</v>
      </c>
      <c r="AM28">
        <v>2</v>
      </c>
      <c r="AN28">
        <v>0</v>
      </c>
      <c r="AO28">
        <v>1</v>
      </c>
      <c r="AP28">
        <v>1</v>
      </c>
      <c r="AQ28">
        <v>0</v>
      </c>
      <c r="AR28">
        <v>0</v>
      </c>
      <c r="AS28" t="s">
        <v>3</v>
      </c>
      <c r="AT28">
        <v>0.1</v>
      </c>
      <c r="AU28" t="s">
        <v>3</v>
      </c>
      <c r="AV28">
        <v>0</v>
      </c>
      <c r="AW28">
        <v>2</v>
      </c>
      <c r="AX28">
        <v>92408797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V28">
        <v>0</v>
      </c>
      <c r="CW28">
        <f>ROUND(Y28*Source!I32,9)</f>
        <v>2.1999999999999999E-2</v>
      </c>
      <c r="CX28">
        <f>ROUND(Y28*Source!I32,9)</f>
        <v>2.1999999999999999E-2</v>
      </c>
      <c r="CY28">
        <f>AB28</f>
        <v>1289.23</v>
      </c>
      <c r="CZ28">
        <f>AF28</f>
        <v>91.76</v>
      </c>
      <c r="DA28">
        <f>AJ28</f>
        <v>14.05</v>
      </c>
      <c r="DB28">
        <f t="shared" si="1"/>
        <v>9.18</v>
      </c>
      <c r="DC28">
        <f t="shared" si="2"/>
        <v>1.04</v>
      </c>
      <c r="DD28" t="s">
        <v>3</v>
      </c>
      <c r="DE28" t="s">
        <v>3</v>
      </c>
      <c r="DF28">
        <f t="shared" si="7"/>
        <v>0</v>
      </c>
      <c r="DG28">
        <f>ROUND(ROUND(AF28*AJ28,2)*CX28,2)</f>
        <v>28.36</v>
      </c>
      <c r="DH28">
        <f>ROUND(ROUND(AG28*AK28,2)*CX28,2)</f>
        <v>7.53</v>
      </c>
      <c r="DI28">
        <f t="shared" si="4"/>
        <v>0</v>
      </c>
      <c r="DJ28">
        <f>DG28</f>
        <v>28.36</v>
      </c>
      <c r="DK28">
        <v>0</v>
      </c>
      <c r="DL28" t="s">
        <v>3</v>
      </c>
      <c r="DM28">
        <v>0</v>
      </c>
      <c r="DN28" t="s">
        <v>3</v>
      </c>
      <c r="DO28">
        <v>0</v>
      </c>
    </row>
    <row r="29" spans="1:119" x14ac:dyDescent="0.2">
      <c r="A29">
        <f>ROW(Source!A32)</f>
        <v>32</v>
      </c>
      <c r="B29">
        <v>92408302</v>
      </c>
      <c r="C29">
        <v>92408786</v>
      </c>
      <c r="D29">
        <v>37736610</v>
      </c>
      <c r="E29">
        <v>1</v>
      </c>
      <c r="F29">
        <v>1</v>
      </c>
      <c r="G29">
        <v>1</v>
      </c>
      <c r="H29">
        <v>3</v>
      </c>
      <c r="I29" t="s">
        <v>69</v>
      </c>
      <c r="J29" t="s">
        <v>71</v>
      </c>
      <c r="K29" t="s">
        <v>70</v>
      </c>
      <c r="L29">
        <v>1346</v>
      </c>
      <c r="N29">
        <v>1009</v>
      </c>
      <c r="O29" t="s">
        <v>61</v>
      </c>
      <c r="P29" t="s">
        <v>61</v>
      </c>
      <c r="Q29">
        <v>1</v>
      </c>
      <c r="W29">
        <v>1</v>
      </c>
      <c r="X29">
        <v>-347328291</v>
      </c>
      <c r="Y29">
        <f t="shared" si="0"/>
        <v>-6.84</v>
      </c>
      <c r="AA29">
        <v>121.82</v>
      </c>
      <c r="AB29">
        <v>0</v>
      </c>
      <c r="AC29">
        <v>0</v>
      </c>
      <c r="AD29">
        <v>0</v>
      </c>
      <c r="AE29">
        <v>12.65</v>
      </c>
      <c r="AF29">
        <v>0</v>
      </c>
      <c r="AG29">
        <v>0</v>
      </c>
      <c r="AH29">
        <v>0</v>
      </c>
      <c r="AI29">
        <v>9.6300000000000008</v>
      </c>
      <c r="AJ29">
        <v>1</v>
      </c>
      <c r="AK29">
        <v>1</v>
      </c>
      <c r="AL29">
        <v>1</v>
      </c>
      <c r="AM29">
        <v>2</v>
      </c>
      <c r="AN29">
        <v>0</v>
      </c>
      <c r="AO29">
        <v>1</v>
      </c>
      <c r="AP29">
        <v>1</v>
      </c>
      <c r="AQ29">
        <v>0</v>
      </c>
      <c r="AR29">
        <v>0</v>
      </c>
      <c r="AS29" t="s">
        <v>3</v>
      </c>
      <c r="AT29">
        <v>-6.84</v>
      </c>
      <c r="AU29" t="s">
        <v>3</v>
      </c>
      <c r="AV29">
        <v>0</v>
      </c>
      <c r="AW29">
        <v>2</v>
      </c>
      <c r="AX29">
        <v>92408798</v>
      </c>
      <c r="AY29">
        <v>1</v>
      </c>
      <c r="AZ29">
        <v>6144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V29">
        <v>0</v>
      </c>
      <c r="CW29">
        <v>0</v>
      </c>
      <c r="CX29">
        <f>ROUND(Y29*Source!I32,9)</f>
        <v>-1.5047999999999999</v>
      </c>
      <c r="CY29">
        <f>AA29</f>
        <v>121.82</v>
      </c>
      <c r="CZ29">
        <f>AE29</f>
        <v>12.65</v>
      </c>
      <c r="DA29">
        <f>AI29</f>
        <v>9.6300000000000008</v>
      </c>
      <c r="DB29">
        <f t="shared" si="1"/>
        <v>-86.53</v>
      </c>
      <c r="DC29">
        <f t="shared" si="2"/>
        <v>0</v>
      </c>
      <c r="DD29" t="s">
        <v>3</v>
      </c>
      <c r="DE29" t="s">
        <v>3</v>
      </c>
      <c r="DF29">
        <f>ROUND(ROUND(AE29*AI29,2)*CX29,2)</f>
        <v>-183.31</v>
      </c>
      <c r="DG29">
        <f t="shared" ref="DG29:DG34" si="8">ROUND(ROUND(AF29,2)*CX29,2)</f>
        <v>0</v>
      </c>
      <c r="DH29">
        <f t="shared" ref="DH29:DH34" si="9">ROUND(ROUND(AG29,2)*CX29,2)</f>
        <v>0</v>
      </c>
      <c r="DI29">
        <f t="shared" si="4"/>
        <v>0</v>
      </c>
      <c r="DJ29">
        <f>DF29</f>
        <v>-183.31</v>
      </c>
      <c r="DK29">
        <v>0</v>
      </c>
      <c r="DL29" t="s">
        <v>3</v>
      </c>
      <c r="DM29">
        <v>0</v>
      </c>
      <c r="DN29" t="s">
        <v>3</v>
      </c>
      <c r="DO29">
        <v>0</v>
      </c>
    </row>
    <row r="30" spans="1:119" x14ac:dyDescent="0.2">
      <c r="A30">
        <f>ROW(Source!A32)</f>
        <v>32</v>
      </c>
      <c r="B30">
        <v>92408302</v>
      </c>
      <c r="C30">
        <v>92408786</v>
      </c>
      <c r="D30">
        <v>37737061</v>
      </c>
      <c r="E30">
        <v>1</v>
      </c>
      <c r="F30">
        <v>1</v>
      </c>
      <c r="G30">
        <v>1</v>
      </c>
      <c r="H30">
        <v>3</v>
      </c>
      <c r="I30" t="s">
        <v>362</v>
      </c>
      <c r="J30" t="s">
        <v>363</v>
      </c>
      <c r="K30" t="s">
        <v>364</v>
      </c>
      <c r="L30">
        <v>1355</v>
      </c>
      <c r="N30">
        <v>1010</v>
      </c>
      <c r="O30" t="s">
        <v>116</v>
      </c>
      <c r="P30" t="s">
        <v>116</v>
      </c>
      <c r="Q30">
        <v>100</v>
      </c>
      <c r="W30">
        <v>0</v>
      </c>
      <c r="X30">
        <v>2122249271</v>
      </c>
      <c r="Y30">
        <f t="shared" si="0"/>
        <v>0.4</v>
      </c>
      <c r="AA30">
        <v>363.13</v>
      </c>
      <c r="AB30">
        <v>0</v>
      </c>
      <c r="AC30">
        <v>0</v>
      </c>
      <c r="AD30">
        <v>0</v>
      </c>
      <c r="AE30">
        <v>87.29</v>
      </c>
      <c r="AF30">
        <v>0</v>
      </c>
      <c r="AG30">
        <v>0</v>
      </c>
      <c r="AH30">
        <v>0</v>
      </c>
      <c r="AI30">
        <v>4.16</v>
      </c>
      <c r="AJ30">
        <v>1</v>
      </c>
      <c r="AK30">
        <v>1</v>
      </c>
      <c r="AL30">
        <v>1</v>
      </c>
      <c r="AM30">
        <v>2</v>
      </c>
      <c r="AN30">
        <v>0</v>
      </c>
      <c r="AO30">
        <v>1</v>
      </c>
      <c r="AP30">
        <v>1</v>
      </c>
      <c r="AQ30">
        <v>0</v>
      </c>
      <c r="AR30">
        <v>0</v>
      </c>
      <c r="AS30" t="s">
        <v>3</v>
      </c>
      <c r="AT30">
        <v>0.4</v>
      </c>
      <c r="AU30" t="s">
        <v>3</v>
      </c>
      <c r="AV30">
        <v>0</v>
      </c>
      <c r="AW30">
        <v>2</v>
      </c>
      <c r="AX30">
        <v>92408799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V30">
        <v>0</v>
      </c>
      <c r="CW30">
        <v>0</v>
      </c>
      <c r="CX30">
        <f>ROUND(Y30*Source!I32,9)</f>
        <v>8.7999999999999995E-2</v>
      </c>
      <c r="CY30">
        <f>AA30</f>
        <v>363.13</v>
      </c>
      <c r="CZ30">
        <f>AE30</f>
        <v>87.29</v>
      </c>
      <c r="DA30">
        <f>AI30</f>
        <v>4.16</v>
      </c>
      <c r="DB30">
        <f t="shared" si="1"/>
        <v>34.92</v>
      </c>
      <c r="DC30">
        <f t="shared" si="2"/>
        <v>0</v>
      </c>
      <c r="DD30" t="s">
        <v>3</v>
      </c>
      <c r="DE30" t="s">
        <v>3</v>
      </c>
      <c r="DF30">
        <f>ROUND(ROUND(AE30*AI30,2)*CX30,2)</f>
        <v>31.96</v>
      </c>
      <c r="DG30">
        <f t="shared" si="8"/>
        <v>0</v>
      </c>
      <c r="DH30">
        <f t="shared" si="9"/>
        <v>0</v>
      </c>
      <c r="DI30">
        <f t="shared" si="4"/>
        <v>0</v>
      </c>
      <c r="DJ30">
        <f>DF30</f>
        <v>31.96</v>
      </c>
      <c r="DK30">
        <v>0</v>
      </c>
      <c r="DL30" t="s">
        <v>3</v>
      </c>
      <c r="DM30">
        <v>0</v>
      </c>
      <c r="DN30" t="s">
        <v>3</v>
      </c>
      <c r="DO30">
        <v>0</v>
      </c>
    </row>
    <row r="31" spans="1:119" x14ac:dyDescent="0.2">
      <c r="A31">
        <f>ROW(Source!A32)</f>
        <v>32</v>
      </c>
      <c r="B31">
        <v>92408302</v>
      </c>
      <c r="C31">
        <v>92408786</v>
      </c>
      <c r="D31">
        <v>37737326</v>
      </c>
      <c r="E31">
        <v>1</v>
      </c>
      <c r="F31">
        <v>1</v>
      </c>
      <c r="G31">
        <v>1</v>
      </c>
      <c r="H31">
        <v>3</v>
      </c>
      <c r="I31" t="s">
        <v>365</v>
      </c>
      <c r="J31" t="s">
        <v>366</v>
      </c>
      <c r="K31" t="s">
        <v>367</v>
      </c>
      <c r="L31">
        <v>1354</v>
      </c>
      <c r="N31">
        <v>1010</v>
      </c>
      <c r="O31" t="s">
        <v>368</v>
      </c>
      <c r="P31" t="s">
        <v>368</v>
      </c>
      <c r="Q31">
        <v>1</v>
      </c>
      <c r="W31">
        <v>0</v>
      </c>
      <c r="X31">
        <v>-141146855</v>
      </c>
      <c r="Y31">
        <f t="shared" si="0"/>
        <v>40</v>
      </c>
      <c r="AA31">
        <v>0.34</v>
      </c>
      <c r="AB31">
        <v>0</v>
      </c>
      <c r="AC31">
        <v>0</v>
      </c>
      <c r="AD31">
        <v>0</v>
      </c>
      <c r="AE31">
        <v>7.0000000000000007E-2</v>
      </c>
      <c r="AF31">
        <v>0</v>
      </c>
      <c r="AG31">
        <v>0</v>
      </c>
      <c r="AH31">
        <v>0</v>
      </c>
      <c r="AI31">
        <v>4.8600000000000003</v>
      </c>
      <c r="AJ31">
        <v>1</v>
      </c>
      <c r="AK31">
        <v>1</v>
      </c>
      <c r="AL31">
        <v>1</v>
      </c>
      <c r="AM31">
        <v>2</v>
      </c>
      <c r="AN31">
        <v>0</v>
      </c>
      <c r="AO31">
        <v>1</v>
      </c>
      <c r="AP31">
        <v>1</v>
      </c>
      <c r="AQ31">
        <v>0</v>
      </c>
      <c r="AR31">
        <v>0</v>
      </c>
      <c r="AS31" t="s">
        <v>3</v>
      </c>
      <c r="AT31">
        <v>40</v>
      </c>
      <c r="AU31" t="s">
        <v>3</v>
      </c>
      <c r="AV31">
        <v>0</v>
      </c>
      <c r="AW31">
        <v>2</v>
      </c>
      <c r="AX31">
        <v>92408800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V31">
        <v>0</v>
      </c>
      <c r="CW31">
        <v>0</v>
      </c>
      <c r="CX31">
        <f>ROUND(Y31*Source!I32,9)</f>
        <v>8.8000000000000007</v>
      </c>
      <c r="CY31">
        <f>AA31</f>
        <v>0.34</v>
      </c>
      <c r="CZ31">
        <f>AE31</f>
        <v>7.0000000000000007E-2</v>
      </c>
      <c r="DA31">
        <f>AI31</f>
        <v>4.8600000000000003</v>
      </c>
      <c r="DB31">
        <f t="shared" si="1"/>
        <v>2.8</v>
      </c>
      <c r="DC31">
        <f t="shared" si="2"/>
        <v>0</v>
      </c>
      <c r="DD31" t="s">
        <v>3</v>
      </c>
      <c r="DE31" t="s">
        <v>3</v>
      </c>
      <c r="DF31">
        <f>ROUND(ROUND(AE31*AI31,2)*CX31,2)</f>
        <v>2.99</v>
      </c>
      <c r="DG31">
        <f t="shared" si="8"/>
        <v>0</v>
      </c>
      <c r="DH31">
        <f t="shared" si="9"/>
        <v>0</v>
      </c>
      <c r="DI31">
        <f t="shared" si="4"/>
        <v>0</v>
      </c>
      <c r="DJ31">
        <f>DF31</f>
        <v>2.99</v>
      </c>
      <c r="DK31">
        <v>0</v>
      </c>
      <c r="DL31" t="s">
        <v>3</v>
      </c>
      <c r="DM31">
        <v>0</v>
      </c>
      <c r="DN31" t="s">
        <v>3</v>
      </c>
      <c r="DO31">
        <v>0</v>
      </c>
    </row>
    <row r="32" spans="1:119" x14ac:dyDescent="0.2">
      <c r="A32">
        <f>ROW(Source!A32)</f>
        <v>32</v>
      </c>
      <c r="B32">
        <v>92408302</v>
      </c>
      <c r="C32">
        <v>92408786</v>
      </c>
      <c r="D32">
        <v>37801918</v>
      </c>
      <c r="E32">
        <v>1</v>
      </c>
      <c r="F32">
        <v>1</v>
      </c>
      <c r="G32">
        <v>1</v>
      </c>
      <c r="H32">
        <v>3</v>
      </c>
      <c r="I32" t="s">
        <v>100</v>
      </c>
      <c r="J32" t="s">
        <v>103</v>
      </c>
      <c r="K32" t="s">
        <v>101</v>
      </c>
      <c r="L32">
        <v>1374</v>
      </c>
      <c r="N32">
        <v>1013</v>
      </c>
      <c r="O32" t="s">
        <v>102</v>
      </c>
      <c r="P32" t="s">
        <v>102</v>
      </c>
      <c r="Q32">
        <v>1</v>
      </c>
      <c r="W32">
        <v>0</v>
      </c>
      <c r="X32">
        <v>2131831278</v>
      </c>
      <c r="Y32">
        <f t="shared" si="0"/>
        <v>4.13</v>
      </c>
      <c r="AA32">
        <v>1</v>
      </c>
      <c r="AB32">
        <v>0</v>
      </c>
      <c r="AC32">
        <v>0</v>
      </c>
      <c r="AD32">
        <v>0</v>
      </c>
      <c r="AE32">
        <v>1</v>
      </c>
      <c r="AF32">
        <v>0</v>
      </c>
      <c r="AG32">
        <v>0</v>
      </c>
      <c r="AH32">
        <v>0</v>
      </c>
      <c r="AI32">
        <v>1</v>
      </c>
      <c r="AJ32">
        <v>1</v>
      </c>
      <c r="AK32">
        <v>1</v>
      </c>
      <c r="AL32">
        <v>1</v>
      </c>
      <c r="AM32">
        <v>-2</v>
      </c>
      <c r="AN32">
        <v>0</v>
      </c>
      <c r="AO32">
        <v>1</v>
      </c>
      <c r="AP32">
        <v>1</v>
      </c>
      <c r="AQ32">
        <v>0</v>
      </c>
      <c r="AR32">
        <v>0</v>
      </c>
      <c r="AS32" t="s">
        <v>3</v>
      </c>
      <c r="AT32">
        <v>4.13</v>
      </c>
      <c r="AU32" t="s">
        <v>3</v>
      </c>
      <c r="AV32">
        <v>0</v>
      </c>
      <c r="AW32">
        <v>2</v>
      </c>
      <c r="AX32">
        <v>92408801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V32">
        <v>0</v>
      </c>
      <c r="CW32">
        <v>0</v>
      </c>
      <c r="CX32">
        <f>ROUND(Y32*Source!I32,9)</f>
        <v>0.90859999999999996</v>
      </c>
      <c r="CY32">
        <f>AA32</f>
        <v>1</v>
      </c>
      <c r="CZ32">
        <f>AE32</f>
        <v>1</v>
      </c>
      <c r="DA32">
        <f>AI32</f>
        <v>1</v>
      </c>
      <c r="DB32">
        <f t="shared" si="1"/>
        <v>4.13</v>
      </c>
      <c r="DC32">
        <f t="shared" si="2"/>
        <v>0</v>
      </c>
      <c r="DD32" t="s">
        <v>3</v>
      </c>
      <c r="DE32" t="s">
        <v>3</v>
      </c>
      <c r="DF32">
        <f t="shared" ref="DF32:DF38" si="10">ROUND(ROUND(AE32,2)*CX32,2)</f>
        <v>0.91</v>
      </c>
      <c r="DG32">
        <f t="shared" si="8"/>
        <v>0</v>
      </c>
      <c r="DH32">
        <f t="shared" si="9"/>
        <v>0</v>
      </c>
      <c r="DI32">
        <f t="shared" si="4"/>
        <v>0</v>
      </c>
      <c r="DJ32">
        <f>DF32</f>
        <v>0.91</v>
      </c>
      <c r="DK32">
        <v>0</v>
      </c>
      <c r="DL32" t="s">
        <v>3</v>
      </c>
      <c r="DM32">
        <v>0</v>
      </c>
      <c r="DN32" t="s">
        <v>3</v>
      </c>
      <c r="DO32">
        <v>0</v>
      </c>
    </row>
    <row r="33" spans="1:119" x14ac:dyDescent="0.2">
      <c r="A33">
        <f>ROW(Source!A34)</f>
        <v>34</v>
      </c>
      <c r="B33">
        <v>92408302</v>
      </c>
      <c r="C33">
        <v>92408463</v>
      </c>
      <c r="D33">
        <v>23351395</v>
      </c>
      <c r="E33">
        <v>1</v>
      </c>
      <c r="F33">
        <v>1</v>
      </c>
      <c r="G33">
        <v>1</v>
      </c>
      <c r="H33">
        <v>1</v>
      </c>
      <c r="I33" t="s">
        <v>337</v>
      </c>
      <c r="J33" t="s">
        <v>3</v>
      </c>
      <c r="K33" t="s">
        <v>338</v>
      </c>
      <c r="L33">
        <v>1369</v>
      </c>
      <c r="N33">
        <v>1013</v>
      </c>
      <c r="O33" t="s">
        <v>325</v>
      </c>
      <c r="P33" t="s">
        <v>325</v>
      </c>
      <c r="Q33">
        <v>1</v>
      </c>
      <c r="W33">
        <v>0</v>
      </c>
      <c r="X33">
        <v>1072260845</v>
      </c>
      <c r="Y33">
        <f t="shared" ref="Y33:Y64" si="11">AT33</f>
        <v>20.239999999999998</v>
      </c>
      <c r="AA33">
        <v>0</v>
      </c>
      <c r="AB33">
        <v>0</v>
      </c>
      <c r="AC33">
        <v>0</v>
      </c>
      <c r="AD33">
        <v>8.99</v>
      </c>
      <c r="AE33">
        <v>0</v>
      </c>
      <c r="AF33">
        <v>0</v>
      </c>
      <c r="AG33">
        <v>0</v>
      </c>
      <c r="AH33">
        <v>8.99</v>
      </c>
      <c r="AI33">
        <v>1</v>
      </c>
      <c r="AJ33">
        <v>1</v>
      </c>
      <c r="AK33">
        <v>1</v>
      </c>
      <c r="AL33">
        <v>1</v>
      </c>
      <c r="AM33">
        <v>-2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20.239999999999998</v>
      </c>
      <c r="AU33" t="s">
        <v>3</v>
      </c>
      <c r="AV33">
        <v>1</v>
      </c>
      <c r="AW33">
        <v>2</v>
      </c>
      <c r="AX33">
        <v>92408475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U33">
        <f>ROUND(AT33*Source!I34*AH33*AL33,2)</f>
        <v>80.06</v>
      </c>
      <c r="CV33">
        <f>ROUND(Y33*Source!I34,9)</f>
        <v>8.9055999999999997</v>
      </c>
      <c r="CW33">
        <v>0</v>
      </c>
      <c r="CX33">
        <f>ROUND(Y33*Source!I34,9)</f>
        <v>8.9055999999999997</v>
      </c>
      <c r="CY33">
        <f>AD33</f>
        <v>8.99</v>
      </c>
      <c r="CZ33">
        <f>AH33</f>
        <v>8.99</v>
      </c>
      <c r="DA33">
        <f>AL33</f>
        <v>1</v>
      </c>
      <c r="DB33">
        <f t="shared" ref="DB33:DB64" si="12">ROUND(ROUND(AT33*CZ33,2),2)</f>
        <v>181.96</v>
      </c>
      <c r="DC33">
        <f t="shared" ref="DC33:DC64" si="13">ROUND(ROUND(AT33*AG33,2),2)</f>
        <v>0</v>
      </c>
      <c r="DD33" t="s">
        <v>3</v>
      </c>
      <c r="DE33" t="s">
        <v>3</v>
      </c>
      <c r="DF33">
        <f t="shared" si="10"/>
        <v>0</v>
      </c>
      <c r="DG33">
        <f t="shared" si="8"/>
        <v>0</v>
      </c>
      <c r="DH33">
        <f t="shared" si="9"/>
        <v>0</v>
      </c>
      <c r="DI33">
        <f t="shared" ref="DI33:DI64" si="14">ROUND(ROUND(AH33,2)*CX33,2)</f>
        <v>80.06</v>
      </c>
      <c r="DJ33">
        <f>DI33</f>
        <v>80.06</v>
      </c>
      <c r="DK33">
        <v>0</v>
      </c>
      <c r="DL33" t="s">
        <v>3</v>
      </c>
      <c r="DM33">
        <v>0</v>
      </c>
      <c r="DN33" t="s">
        <v>3</v>
      </c>
      <c r="DO33">
        <v>0</v>
      </c>
    </row>
    <row r="34" spans="1:119" x14ac:dyDescent="0.2">
      <c r="A34">
        <f>ROW(Source!A34)</f>
        <v>34</v>
      </c>
      <c r="B34">
        <v>92408302</v>
      </c>
      <c r="C34">
        <v>92408463</v>
      </c>
      <c r="D34">
        <v>121548</v>
      </c>
      <c r="E34">
        <v>1</v>
      </c>
      <c r="F34">
        <v>1</v>
      </c>
      <c r="G34">
        <v>1</v>
      </c>
      <c r="H34">
        <v>1</v>
      </c>
      <c r="I34" t="s">
        <v>24</v>
      </c>
      <c r="J34" t="s">
        <v>3</v>
      </c>
      <c r="K34" t="s">
        <v>326</v>
      </c>
      <c r="L34">
        <v>608254</v>
      </c>
      <c r="N34">
        <v>1013</v>
      </c>
      <c r="O34" t="s">
        <v>327</v>
      </c>
      <c r="P34" t="s">
        <v>327</v>
      </c>
      <c r="Q34">
        <v>1</v>
      </c>
      <c r="W34">
        <v>0</v>
      </c>
      <c r="X34">
        <v>-185737400</v>
      </c>
      <c r="Y34">
        <f t="shared" si="11"/>
        <v>0.2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1</v>
      </c>
      <c r="AJ34">
        <v>1</v>
      </c>
      <c r="AK34">
        <v>1</v>
      </c>
      <c r="AL34">
        <v>1</v>
      </c>
      <c r="AM34">
        <v>-2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0.2</v>
      </c>
      <c r="AU34" t="s">
        <v>3</v>
      </c>
      <c r="AV34">
        <v>2</v>
      </c>
      <c r="AW34">
        <v>2</v>
      </c>
      <c r="AX34">
        <v>92408476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V34">
        <v>0</v>
      </c>
      <c r="CW34">
        <v>0</v>
      </c>
      <c r="CX34">
        <f>ROUND(Y34*Source!I34,9)</f>
        <v>8.7999999999999995E-2</v>
      </c>
      <c r="CY34">
        <f>AD34</f>
        <v>0</v>
      </c>
      <c r="CZ34">
        <f>AH34</f>
        <v>0</v>
      </c>
      <c r="DA34">
        <f>AL34</f>
        <v>1</v>
      </c>
      <c r="DB34">
        <f t="shared" si="12"/>
        <v>0</v>
      </c>
      <c r="DC34">
        <f t="shared" si="13"/>
        <v>0</v>
      </c>
      <c r="DD34" t="s">
        <v>3</v>
      </c>
      <c r="DE34" t="s">
        <v>3</v>
      </c>
      <c r="DF34">
        <f t="shared" si="10"/>
        <v>0</v>
      </c>
      <c r="DG34">
        <f t="shared" si="8"/>
        <v>0</v>
      </c>
      <c r="DH34">
        <f t="shared" si="9"/>
        <v>0</v>
      </c>
      <c r="DI34">
        <f t="shared" si="14"/>
        <v>0</v>
      </c>
      <c r="DJ34">
        <f>DI34</f>
        <v>0</v>
      </c>
      <c r="DK34">
        <v>0</v>
      </c>
      <c r="DL34" t="s">
        <v>3</v>
      </c>
      <c r="DM34">
        <v>0</v>
      </c>
      <c r="DN34" t="s">
        <v>3</v>
      </c>
      <c r="DO34">
        <v>0</v>
      </c>
    </row>
    <row r="35" spans="1:119" x14ac:dyDescent="0.2">
      <c r="A35">
        <f>ROW(Source!A34)</f>
        <v>34</v>
      </c>
      <c r="B35">
        <v>92408302</v>
      </c>
      <c r="C35">
        <v>92408463</v>
      </c>
      <c r="D35">
        <v>37802432</v>
      </c>
      <c r="E35">
        <v>1</v>
      </c>
      <c r="F35">
        <v>1</v>
      </c>
      <c r="G35">
        <v>1</v>
      </c>
      <c r="H35">
        <v>2</v>
      </c>
      <c r="I35" t="s">
        <v>342</v>
      </c>
      <c r="J35" t="s">
        <v>343</v>
      </c>
      <c r="K35" t="s">
        <v>344</v>
      </c>
      <c r="L35">
        <v>1368</v>
      </c>
      <c r="N35">
        <v>1011</v>
      </c>
      <c r="O35" t="s">
        <v>331</v>
      </c>
      <c r="P35" t="s">
        <v>331</v>
      </c>
      <c r="Q35">
        <v>1</v>
      </c>
      <c r="W35">
        <v>0</v>
      </c>
      <c r="X35">
        <v>-1424728221</v>
      </c>
      <c r="Y35">
        <f t="shared" si="11"/>
        <v>0.2</v>
      </c>
      <c r="AA35">
        <v>0</v>
      </c>
      <c r="AB35">
        <v>1453.28</v>
      </c>
      <c r="AC35">
        <v>400.27</v>
      </c>
      <c r="AD35">
        <v>0</v>
      </c>
      <c r="AE35">
        <v>0</v>
      </c>
      <c r="AF35">
        <v>138.54</v>
      </c>
      <c r="AG35">
        <v>12.1</v>
      </c>
      <c r="AH35">
        <v>0</v>
      </c>
      <c r="AI35">
        <v>1</v>
      </c>
      <c r="AJ35">
        <v>10.49</v>
      </c>
      <c r="AK35">
        <v>33.08</v>
      </c>
      <c r="AL35">
        <v>1</v>
      </c>
      <c r="AM35">
        <v>2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0.2</v>
      </c>
      <c r="AU35" t="s">
        <v>3</v>
      </c>
      <c r="AV35">
        <v>0</v>
      </c>
      <c r="AW35">
        <v>2</v>
      </c>
      <c r="AX35">
        <v>92408477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V35">
        <v>0</v>
      </c>
      <c r="CW35">
        <f>ROUND(Y35*Source!I34,9)</f>
        <v>8.7999999999999995E-2</v>
      </c>
      <c r="CX35">
        <f>ROUND(Y35*Source!I34,9)</f>
        <v>8.7999999999999995E-2</v>
      </c>
      <c r="CY35">
        <f>AB35</f>
        <v>1453.28</v>
      </c>
      <c r="CZ35">
        <f>AF35</f>
        <v>138.54</v>
      </c>
      <c r="DA35">
        <f>AJ35</f>
        <v>10.49</v>
      </c>
      <c r="DB35">
        <f t="shared" si="12"/>
        <v>27.71</v>
      </c>
      <c r="DC35">
        <f t="shared" si="13"/>
        <v>2.42</v>
      </c>
      <c r="DD35" t="s">
        <v>3</v>
      </c>
      <c r="DE35" t="s">
        <v>3</v>
      </c>
      <c r="DF35">
        <f t="shared" si="10"/>
        <v>0</v>
      </c>
      <c r="DG35">
        <f>ROUND(ROUND(AF35*AJ35,2)*CX35,2)</f>
        <v>127.89</v>
      </c>
      <c r="DH35">
        <f>ROUND(ROUND(AG35*AK35,2)*CX35,2)</f>
        <v>35.22</v>
      </c>
      <c r="DI35">
        <f t="shared" si="14"/>
        <v>0</v>
      </c>
      <c r="DJ35">
        <f>DG35</f>
        <v>127.89</v>
      </c>
      <c r="DK35">
        <v>0</v>
      </c>
      <c r="DL35" t="s">
        <v>3</v>
      </c>
      <c r="DM35">
        <v>0</v>
      </c>
      <c r="DN35" t="s">
        <v>3</v>
      </c>
      <c r="DO35">
        <v>0</v>
      </c>
    </row>
    <row r="36" spans="1:119" x14ac:dyDescent="0.2">
      <c r="A36">
        <f>ROW(Source!A34)</f>
        <v>34</v>
      </c>
      <c r="B36">
        <v>92408302</v>
      </c>
      <c r="C36">
        <v>92408463</v>
      </c>
      <c r="D36">
        <v>37802530</v>
      </c>
      <c r="E36">
        <v>1</v>
      </c>
      <c r="F36">
        <v>1</v>
      </c>
      <c r="G36">
        <v>1</v>
      </c>
      <c r="H36">
        <v>2</v>
      </c>
      <c r="I36" t="s">
        <v>345</v>
      </c>
      <c r="J36" t="s">
        <v>346</v>
      </c>
      <c r="K36" t="s">
        <v>347</v>
      </c>
      <c r="L36">
        <v>1368</v>
      </c>
      <c r="N36">
        <v>1011</v>
      </c>
      <c r="O36" t="s">
        <v>331</v>
      </c>
      <c r="P36" t="s">
        <v>331</v>
      </c>
      <c r="Q36">
        <v>1</v>
      </c>
      <c r="W36">
        <v>0</v>
      </c>
      <c r="X36">
        <v>11972859</v>
      </c>
      <c r="Y36">
        <f t="shared" si="11"/>
        <v>4.67</v>
      </c>
      <c r="AA36">
        <v>0</v>
      </c>
      <c r="AB36">
        <v>8.09</v>
      </c>
      <c r="AC36">
        <v>0</v>
      </c>
      <c r="AD36">
        <v>0</v>
      </c>
      <c r="AE36">
        <v>0</v>
      </c>
      <c r="AF36">
        <v>1.52</v>
      </c>
      <c r="AG36">
        <v>0</v>
      </c>
      <c r="AH36">
        <v>0</v>
      </c>
      <c r="AI36">
        <v>1</v>
      </c>
      <c r="AJ36">
        <v>5.32</v>
      </c>
      <c r="AK36">
        <v>33.08</v>
      </c>
      <c r="AL36">
        <v>1</v>
      </c>
      <c r="AM36">
        <v>2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4.67</v>
      </c>
      <c r="AU36" t="s">
        <v>3</v>
      </c>
      <c r="AV36">
        <v>0</v>
      </c>
      <c r="AW36">
        <v>2</v>
      </c>
      <c r="AX36">
        <v>92408478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V36">
        <v>0</v>
      </c>
      <c r="CW36">
        <f>ROUND(Y36*Source!I34,9)</f>
        <v>2.0548000000000002</v>
      </c>
      <c r="CX36">
        <f>ROUND(Y36*Source!I34,9)</f>
        <v>2.0548000000000002</v>
      </c>
      <c r="CY36">
        <f>AB36</f>
        <v>8.09</v>
      </c>
      <c r="CZ36">
        <f>AF36</f>
        <v>1.52</v>
      </c>
      <c r="DA36">
        <f>AJ36</f>
        <v>5.32</v>
      </c>
      <c r="DB36">
        <f t="shared" si="12"/>
        <v>7.1</v>
      </c>
      <c r="DC36">
        <f t="shared" si="13"/>
        <v>0</v>
      </c>
      <c r="DD36" t="s">
        <v>3</v>
      </c>
      <c r="DE36" t="s">
        <v>3</v>
      </c>
      <c r="DF36">
        <f t="shared" si="10"/>
        <v>0</v>
      </c>
      <c r="DG36">
        <f>ROUND(ROUND(AF36*AJ36,2)*CX36,2)</f>
        <v>16.62</v>
      </c>
      <c r="DH36">
        <f>ROUND(ROUND(AG36*AK36,2)*CX36,2)</f>
        <v>0</v>
      </c>
      <c r="DI36">
        <f t="shared" si="14"/>
        <v>0</v>
      </c>
      <c r="DJ36">
        <f>DG36</f>
        <v>16.62</v>
      </c>
      <c r="DK36">
        <v>0</v>
      </c>
      <c r="DL36" t="s">
        <v>3</v>
      </c>
      <c r="DM36">
        <v>0</v>
      </c>
      <c r="DN36" t="s">
        <v>3</v>
      </c>
      <c r="DO36">
        <v>0</v>
      </c>
    </row>
    <row r="37" spans="1:119" x14ac:dyDescent="0.2">
      <c r="A37">
        <f>ROW(Source!A34)</f>
        <v>34</v>
      </c>
      <c r="B37">
        <v>92408302</v>
      </c>
      <c r="C37">
        <v>92408463</v>
      </c>
      <c r="D37">
        <v>37802544</v>
      </c>
      <c r="E37">
        <v>1</v>
      </c>
      <c r="F37">
        <v>1</v>
      </c>
      <c r="G37">
        <v>1</v>
      </c>
      <c r="H37">
        <v>2</v>
      </c>
      <c r="I37" t="s">
        <v>348</v>
      </c>
      <c r="J37" t="s">
        <v>349</v>
      </c>
      <c r="K37" t="s">
        <v>350</v>
      </c>
      <c r="L37">
        <v>1368</v>
      </c>
      <c r="N37">
        <v>1011</v>
      </c>
      <c r="O37" t="s">
        <v>331</v>
      </c>
      <c r="P37" t="s">
        <v>331</v>
      </c>
      <c r="Q37">
        <v>1</v>
      </c>
      <c r="W37">
        <v>0</v>
      </c>
      <c r="X37">
        <v>-892985829</v>
      </c>
      <c r="Y37">
        <f t="shared" si="11"/>
        <v>4.67</v>
      </c>
      <c r="AA37">
        <v>0</v>
      </c>
      <c r="AB37">
        <v>37.11</v>
      </c>
      <c r="AC37">
        <v>0</v>
      </c>
      <c r="AD37">
        <v>0</v>
      </c>
      <c r="AE37">
        <v>0</v>
      </c>
      <c r="AF37">
        <v>7.11</v>
      </c>
      <c r="AG37">
        <v>0</v>
      </c>
      <c r="AH37">
        <v>0</v>
      </c>
      <c r="AI37">
        <v>1</v>
      </c>
      <c r="AJ37">
        <v>5.22</v>
      </c>
      <c r="AK37">
        <v>33.08</v>
      </c>
      <c r="AL37">
        <v>1</v>
      </c>
      <c r="AM37">
        <v>2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4.67</v>
      </c>
      <c r="AU37" t="s">
        <v>3</v>
      </c>
      <c r="AV37">
        <v>0</v>
      </c>
      <c r="AW37">
        <v>2</v>
      </c>
      <c r="AX37">
        <v>92408479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V37">
        <v>0</v>
      </c>
      <c r="CW37">
        <f>ROUND(Y37*Source!I34,9)</f>
        <v>2.0548000000000002</v>
      </c>
      <c r="CX37">
        <f>ROUND(Y37*Source!I34,9)</f>
        <v>2.0548000000000002</v>
      </c>
      <c r="CY37">
        <f>AB37</f>
        <v>37.11</v>
      </c>
      <c r="CZ37">
        <f>AF37</f>
        <v>7.11</v>
      </c>
      <c r="DA37">
        <f>AJ37</f>
        <v>5.22</v>
      </c>
      <c r="DB37">
        <f t="shared" si="12"/>
        <v>33.200000000000003</v>
      </c>
      <c r="DC37">
        <f t="shared" si="13"/>
        <v>0</v>
      </c>
      <c r="DD37" t="s">
        <v>3</v>
      </c>
      <c r="DE37" t="s">
        <v>3</v>
      </c>
      <c r="DF37">
        <f t="shared" si="10"/>
        <v>0</v>
      </c>
      <c r="DG37">
        <f>ROUND(ROUND(AF37*AJ37,2)*CX37,2)</f>
        <v>76.25</v>
      </c>
      <c r="DH37">
        <f>ROUND(ROUND(AG37*AK37,2)*CX37,2)</f>
        <v>0</v>
      </c>
      <c r="DI37">
        <f t="shared" si="14"/>
        <v>0</v>
      </c>
      <c r="DJ37">
        <f>DG37</f>
        <v>76.25</v>
      </c>
      <c r="DK37">
        <v>0</v>
      </c>
      <c r="DL37" t="s">
        <v>3</v>
      </c>
      <c r="DM37">
        <v>0</v>
      </c>
      <c r="DN37" t="s">
        <v>3</v>
      </c>
      <c r="DO37">
        <v>0</v>
      </c>
    </row>
    <row r="38" spans="1:119" x14ac:dyDescent="0.2">
      <c r="A38">
        <f>ROW(Source!A34)</f>
        <v>34</v>
      </c>
      <c r="B38">
        <v>92408302</v>
      </c>
      <c r="C38">
        <v>92408463</v>
      </c>
      <c r="D38">
        <v>37804456</v>
      </c>
      <c r="E38">
        <v>1</v>
      </c>
      <c r="F38">
        <v>1</v>
      </c>
      <c r="G38">
        <v>1</v>
      </c>
      <c r="H38">
        <v>2</v>
      </c>
      <c r="I38" t="s">
        <v>339</v>
      </c>
      <c r="J38" t="s">
        <v>340</v>
      </c>
      <c r="K38" t="s">
        <v>341</v>
      </c>
      <c r="L38">
        <v>1368</v>
      </c>
      <c r="N38">
        <v>1011</v>
      </c>
      <c r="O38" t="s">
        <v>331</v>
      </c>
      <c r="P38" t="s">
        <v>331</v>
      </c>
      <c r="Q38">
        <v>1</v>
      </c>
      <c r="W38">
        <v>0</v>
      </c>
      <c r="X38">
        <v>-671646184</v>
      </c>
      <c r="Y38">
        <f t="shared" si="11"/>
        <v>0.2</v>
      </c>
      <c r="AA38">
        <v>0</v>
      </c>
      <c r="AB38">
        <v>1289.23</v>
      </c>
      <c r="AC38">
        <v>342.38</v>
      </c>
      <c r="AD38">
        <v>0</v>
      </c>
      <c r="AE38">
        <v>0</v>
      </c>
      <c r="AF38">
        <v>91.76</v>
      </c>
      <c r="AG38">
        <v>10.35</v>
      </c>
      <c r="AH38">
        <v>0</v>
      </c>
      <c r="AI38">
        <v>1</v>
      </c>
      <c r="AJ38">
        <v>14.05</v>
      </c>
      <c r="AK38">
        <v>33.08</v>
      </c>
      <c r="AL38">
        <v>1</v>
      </c>
      <c r="AM38">
        <v>2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0.2</v>
      </c>
      <c r="AU38" t="s">
        <v>3</v>
      </c>
      <c r="AV38">
        <v>0</v>
      </c>
      <c r="AW38">
        <v>2</v>
      </c>
      <c r="AX38">
        <v>92408480</v>
      </c>
      <c r="AY38">
        <v>1</v>
      </c>
      <c r="AZ38">
        <v>0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V38">
        <v>0</v>
      </c>
      <c r="CW38">
        <f>ROUND(Y38*Source!I34,9)</f>
        <v>8.7999999999999995E-2</v>
      </c>
      <c r="CX38">
        <f>ROUND(Y38*Source!I34,9)</f>
        <v>8.7999999999999995E-2</v>
      </c>
      <c r="CY38">
        <f>AB38</f>
        <v>1289.23</v>
      </c>
      <c r="CZ38">
        <f>AF38</f>
        <v>91.76</v>
      </c>
      <c r="DA38">
        <f>AJ38</f>
        <v>14.05</v>
      </c>
      <c r="DB38">
        <f t="shared" si="12"/>
        <v>18.350000000000001</v>
      </c>
      <c r="DC38">
        <f t="shared" si="13"/>
        <v>2.0699999999999998</v>
      </c>
      <c r="DD38" t="s">
        <v>3</v>
      </c>
      <c r="DE38" t="s">
        <v>3</v>
      </c>
      <c r="DF38">
        <f t="shared" si="10"/>
        <v>0</v>
      </c>
      <c r="DG38">
        <f>ROUND(ROUND(AF38*AJ38,2)*CX38,2)</f>
        <v>113.45</v>
      </c>
      <c r="DH38">
        <f>ROUND(ROUND(AG38*AK38,2)*CX38,2)</f>
        <v>30.13</v>
      </c>
      <c r="DI38">
        <f t="shared" si="14"/>
        <v>0</v>
      </c>
      <c r="DJ38">
        <f>DG38</f>
        <v>113.45</v>
      </c>
      <c r="DK38">
        <v>0</v>
      </c>
      <c r="DL38" t="s">
        <v>3</v>
      </c>
      <c r="DM38">
        <v>0</v>
      </c>
      <c r="DN38" t="s">
        <v>3</v>
      </c>
      <c r="DO38">
        <v>0</v>
      </c>
    </row>
    <row r="39" spans="1:119" x14ac:dyDescent="0.2">
      <c r="A39">
        <f>ROW(Source!A34)</f>
        <v>34</v>
      </c>
      <c r="B39">
        <v>92408302</v>
      </c>
      <c r="C39">
        <v>92408463</v>
      </c>
      <c r="D39">
        <v>37737277</v>
      </c>
      <c r="E39">
        <v>1</v>
      </c>
      <c r="F39">
        <v>1</v>
      </c>
      <c r="G39">
        <v>1</v>
      </c>
      <c r="H39">
        <v>3</v>
      </c>
      <c r="I39" t="s">
        <v>369</v>
      </c>
      <c r="J39" t="s">
        <v>370</v>
      </c>
      <c r="K39" t="s">
        <v>371</v>
      </c>
      <c r="L39">
        <v>1348</v>
      </c>
      <c r="N39">
        <v>1009</v>
      </c>
      <c r="O39" t="s">
        <v>97</v>
      </c>
      <c r="P39" t="s">
        <v>97</v>
      </c>
      <c r="Q39">
        <v>1000</v>
      </c>
      <c r="W39">
        <v>0</v>
      </c>
      <c r="X39">
        <v>-835935626</v>
      </c>
      <c r="Y39">
        <f t="shared" si="11"/>
        <v>1.1E-4</v>
      </c>
      <c r="AA39">
        <v>125045.8</v>
      </c>
      <c r="AB39">
        <v>0</v>
      </c>
      <c r="AC39">
        <v>0</v>
      </c>
      <c r="AD39">
        <v>0</v>
      </c>
      <c r="AE39">
        <v>12430</v>
      </c>
      <c r="AF39">
        <v>0</v>
      </c>
      <c r="AG39">
        <v>0</v>
      </c>
      <c r="AH39">
        <v>0</v>
      </c>
      <c r="AI39">
        <v>10.06</v>
      </c>
      <c r="AJ39">
        <v>1</v>
      </c>
      <c r="AK39">
        <v>1</v>
      </c>
      <c r="AL39">
        <v>1</v>
      </c>
      <c r="AM39">
        <v>2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1.1E-4</v>
      </c>
      <c r="AU39" t="s">
        <v>3</v>
      </c>
      <c r="AV39">
        <v>0</v>
      </c>
      <c r="AW39">
        <v>2</v>
      </c>
      <c r="AX39">
        <v>92408481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V39">
        <v>0</v>
      </c>
      <c r="CW39">
        <v>0</v>
      </c>
      <c r="CX39">
        <f>ROUND(Y39*Source!I34,9)</f>
        <v>4.8399999999999997E-5</v>
      </c>
      <c r="CY39">
        <f>AA39</f>
        <v>125045.8</v>
      </c>
      <c r="CZ39">
        <f>AE39</f>
        <v>12430</v>
      </c>
      <c r="DA39">
        <f>AI39</f>
        <v>10.06</v>
      </c>
      <c r="DB39">
        <f t="shared" si="12"/>
        <v>1.37</v>
      </c>
      <c r="DC39">
        <f t="shared" si="13"/>
        <v>0</v>
      </c>
      <c r="DD39" t="s">
        <v>3</v>
      </c>
      <c r="DE39" t="s">
        <v>3</v>
      </c>
      <c r="DF39">
        <f>ROUND(ROUND(AE39*AI39,2)*CX39,2)</f>
        <v>6.05</v>
      </c>
      <c r="DG39">
        <f t="shared" ref="DG39:DG45" si="15">ROUND(ROUND(AF39,2)*CX39,2)</f>
        <v>0</v>
      </c>
      <c r="DH39">
        <f t="shared" ref="DH39:DH45" si="16">ROUND(ROUND(AG39,2)*CX39,2)</f>
        <v>0</v>
      </c>
      <c r="DI39">
        <f t="shared" si="14"/>
        <v>0</v>
      </c>
      <c r="DJ39">
        <f>DF39</f>
        <v>6.05</v>
      </c>
      <c r="DK39">
        <v>0</v>
      </c>
      <c r="DL39" t="s">
        <v>3</v>
      </c>
      <c r="DM39">
        <v>0</v>
      </c>
      <c r="DN39" t="s">
        <v>3</v>
      </c>
      <c r="DO39">
        <v>0</v>
      </c>
    </row>
    <row r="40" spans="1:119" x14ac:dyDescent="0.2">
      <c r="A40">
        <f>ROW(Source!A34)</f>
        <v>34</v>
      </c>
      <c r="B40">
        <v>92408302</v>
      </c>
      <c r="C40">
        <v>92408463</v>
      </c>
      <c r="D40">
        <v>37733003</v>
      </c>
      <c r="E40">
        <v>1</v>
      </c>
      <c r="F40">
        <v>1</v>
      </c>
      <c r="G40">
        <v>1</v>
      </c>
      <c r="H40">
        <v>3</v>
      </c>
      <c r="I40" t="s">
        <v>351</v>
      </c>
      <c r="J40" t="s">
        <v>352</v>
      </c>
      <c r="K40" t="s">
        <v>353</v>
      </c>
      <c r="L40">
        <v>1308</v>
      </c>
      <c r="N40">
        <v>1003</v>
      </c>
      <c r="O40" t="s">
        <v>66</v>
      </c>
      <c r="P40" t="s">
        <v>66</v>
      </c>
      <c r="Q40">
        <v>100</v>
      </c>
      <c r="W40">
        <v>0</v>
      </c>
      <c r="X40">
        <v>-737867663</v>
      </c>
      <c r="Y40">
        <f t="shared" si="11"/>
        <v>2.4500000000000001E-2</v>
      </c>
      <c r="AA40">
        <v>767.34</v>
      </c>
      <c r="AB40">
        <v>0</v>
      </c>
      <c r="AC40">
        <v>0</v>
      </c>
      <c r="AD40">
        <v>0</v>
      </c>
      <c r="AE40">
        <v>121.8</v>
      </c>
      <c r="AF40">
        <v>0</v>
      </c>
      <c r="AG40">
        <v>0</v>
      </c>
      <c r="AH40">
        <v>0</v>
      </c>
      <c r="AI40">
        <v>6.3</v>
      </c>
      <c r="AJ40">
        <v>1</v>
      </c>
      <c r="AK40">
        <v>1</v>
      </c>
      <c r="AL40">
        <v>1</v>
      </c>
      <c r="AM40">
        <v>2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3</v>
      </c>
      <c r="AT40">
        <v>2.4500000000000001E-2</v>
      </c>
      <c r="AU40" t="s">
        <v>3</v>
      </c>
      <c r="AV40">
        <v>0</v>
      </c>
      <c r="AW40">
        <v>2</v>
      </c>
      <c r="AX40">
        <v>92408482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V40">
        <v>0</v>
      </c>
      <c r="CW40">
        <v>0</v>
      </c>
      <c r="CX40">
        <f>ROUND(Y40*Source!I34,9)</f>
        <v>1.078E-2</v>
      </c>
      <c r="CY40">
        <f>AA40</f>
        <v>767.34</v>
      </c>
      <c r="CZ40">
        <f>AE40</f>
        <v>121.8</v>
      </c>
      <c r="DA40">
        <f>AI40</f>
        <v>6.3</v>
      </c>
      <c r="DB40">
        <f t="shared" si="12"/>
        <v>2.98</v>
      </c>
      <c r="DC40">
        <f t="shared" si="13"/>
        <v>0</v>
      </c>
      <c r="DD40" t="s">
        <v>3</v>
      </c>
      <c r="DE40" t="s">
        <v>3</v>
      </c>
      <c r="DF40">
        <f>ROUND(ROUND(AE40*AI40,2)*CX40,2)</f>
        <v>8.27</v>
      </c>
      <c r="DG40">
        <f t="shared" si="15"/>
        <v>0</v>
      </c>
      <c r="DH40">
        <f t="shared" si="16"/>
        <v>0</v>
      </c>
      <c r="DI40">
        <f t="shared" si="14"/>
        <v>0</v>
      </c>
      <c r="DJ40">
        <f>DF40</f>
        <v>8.27</v>
      </c>
      <c r="DK40">
        <v>0</v>
      </c>
      <c r="DL40" t="s">
        <v>3</v>
      </c>
      <c r="DM40">
        <v>0</v>
      </c>
      <c r="DN40" t="s">
        <v>3</v>
      </c>
      <c r="DO40">
        <v>0</v>
      </c>
    </row>
    <row r="41" spans="1:119" x14ac:dyDescent="0.2">
      <c r="A41">
        <f>ROW(Source!A34)</f>
        <v>34</v>
      </c>
      <c r="B41">
        <v>92408302</v>
      </c>
      <c r="C41">
        <v>92408463</v>
      </c>
      <c r="D41">
        <v>37745017</v>
      </c>
      <c r="E41">
        <v>1</v>
      </c>
      <c r="F41">
        <v>1</v>
      </c>
      <c r="G41">
        <v>1</v>
      </c>
      <c r="H41">
        <v>3</v>
      </c>
      <c r="I41" t="s">
        <v>354</v>
      </c>
      <c r="J41" t="s">
        <v>355</v>
      </c>
      <c r="K41" t="s">
        <v>356</v>
      </c>
      <c r="L41">
        <v>1348</v>
      </c>
      <c r="N41">
        <v>1009</v>
      </c>
      <c r="O41" t="s">
        <v>97</v>
      </c>
      <c r="P41" t="s">
        <v>97</v>
      </c>
      <c r="Q41">
        <v>1000</v>
      </c>
      <c r="W41">
        <v>0</v>
      </c>
      <c r="X41">
        <v>-1286039561</v>
      </c>
      <c r="Y41">
        <f t="shared" si="11"/>
        <v>7.2000000000000005E-4</v>
      </c>
      <c r="AA41">
        <v>77557.919999999998</v>
      </c>
      <c r="AB41">
        <v>0</v>
      </c>
      <c r="AC41">
        <v>0</v>
      </c>
      <c r="AD41">
        <v>0</v>
      </c>
      <c r="AE41">
        <v>9528</v>
      </c>
      <c r="AF41">
        <v>0</v>
      </c>
      <c r="AG41">
        <v>0</v>
      </c>
      <c r="AH41">
        <v>0</v>
      </c>
      <c r="AI41">
        <v>8.14</v>
      </c>
      <c r="AJ41">
        <v>1</v>
      </c>
      <c r="AK41">
        <v>1</v>
      </c>
      <c r="AL41">
        <v>1</v>
      </c>
      <c r="AM41">
        <v>2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7.2000000000000005E-4</v>
      </c>
      <c r="AU41" t="s">
        <v>3</v>
      </c>
      <c r="AV41">
        <v>0</v>
      </c>
      <c r="AW41">
        <v>2</v>
      </c>
      <c r="AX41">
        <v>92408483</v>
      </c>
      <c r="AY41">
        <v>1</v>
      </c>
      <c r="AZ41">
        <v>0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V41">
        <v>0</v>
      </c>
      <c r="CW41">
        <v>0</v>
      </c>
      <c r="CX41">
        <f>ROUND(Y41*Source!I34,9)</f>
        <v>3.168E-4</v>
      </c>
      <c r="CY41">
        <f>AA41</f>
        <v>77557.919999999998</v>
      </c>
      <c r="CZ41">
        <f>AE41</f>
        <v>9528</v>
      </c>
      <c r="DA41">
        <f>AI41</f>
        <v>8.14</v>
      </c>
      <c r="DB41">
        <f t="shared" si="12"/>
        <v>6.86</v>
      </c>
      <c r="DC41">
        <f t="shared" si="13"/>
        <v>0</v>
      </c>
      <c r="DD41" t="s">
        <v>3</v>
      </c>
      <c r="DE41" t="s">
        <v>3</v>
      </c>
      <c r="DF41">
        <f>ROUND(ROUND(AE41*AI41,2)*CX41,2)</f>
        <v>24.57</v>
      </c>
      <c r="DG41">
        <f t="shared" si="15"/>
        <v>0</v>
      </c>
      <c r="DH41">
        <f t="shared" si="16"/>
        <v>0</v>
      </c>
      <c r="DI41">
        <f t="shared" si="14"/>
        <v>0</v>
      </c>
      <c r="DJ41">
        <f>DF41</f>
        <v>24.57</v>
      </c>
      <c r="DK41">
        <v>0</v>
      </c>
      <c r="DL41" t="s">
        <v>3</v>
      </c>
      <c r="DM41">
        <v>0</v>
      </c>
      <c r="DN41" t="s">
        <v>3</v>
      </c>
      <c r="DO41">
        <v>0</v>
      </c>
    </row>
    <row r="42" spans="1:119" x14ac:dyDescent="0.2">
      <c r="A42">
        <f>ROW(Source!A34)</f>
        <v>34</v>
      </c>
      <c r="B42">
        <v>92408302</v>
      </c>
      <c r="C42">
        <v>92408463</v>
      </c>
      <c r="D42">
        <v>37785796</v>
      </c>
      <c r="E42">
        <v>1</v>
      </c>
      <c r="F42">
        <v>1</v>
      </c>
      <c r="G42">
        <v>1</v>
      </c>
      <c r="H42">
        <v>3</v>
      </c>
      <c r="I42" t="s">
        <v>59</v>
      </c>
      <c r="J42" t="s">
        <v>62</v>
      </c>
      <c r="K42" t="s">
        <v>60</v>
      </c>
      <c r="L42">
        <v>1346</v>
      </c>
      <c r="N42">
        <v>1009</v>
      </c>
      <c r="O42" t="s">
        <v>61</v>
      </c>
      <c r="P42" t="s">
        <v>61</v>
      </c>
      <c r="Q42">
        <v>1</v>
      </c>
      <c r="W42">
        <v>0</v>
      </c>
      <c r="X42">
        <v>904967830</v>
      </c>
      <c r="Y42">
        <f t="shared" si="11"/>
        <v>0.25</v>
      </c>
      <c r="AA42">
        <v>799.53</v>
      </c>
      <c r="AB42">
        <v>0</v>
      </c>
      <c r="AC42">
        <v>0</v>
      </c>
      <c r="AD42">
        <v>0</v>
      </c>
      <c r="AE42">
        <v>71.45</v>
      </c>
      <c r="AF42">
        <v>0</v>
      </c>
      <c r="AG42">
        <v>0</v>
      </c>
      <c r="AH42">
        <v>0</v>
      </c>
      <c r="AI42">
        <v>11.19</v>
      </c>
      <c r="AJ42">
        <v>1</v>
      </c>
      <c r="AK42">
        <v>1</v>
      </c>
      <c r="AL42">
        <v>1</v>
      </c>
      <c r="AM42">
        <v>2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0.25</v>
      </c>
      <c r="AU42" t="s">
        <v>3</v>
      </c>
      <c r="AV42">
        <v>0</v>
      </c>
      <c r="AW42">
        <v>2</v>
      </c>
      <c r="AX42">
        <v>92408484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V42">
        <v>0</v>
      </c>
      <c r="CW42">
        <v>0</v>
      </c>
      <c r="CX42">
        <f>ROUND(Y42*Source!I34,9)</f>
        <v>0.11</v>
      </c>
      <c r="CY42">
        <f>AA42</f>
        <v>799.53</v>
      </c>
      <c r="CZ42">
        <f>AE42</f>
        <v>71.45</v>
      </c>
      <c r="DA42">
        <f>AI42</f>
        <v>11.19</v>
      </c>
      <c r="DB42">
        <f t="shared" si="12"/>
        <v>17.86</v>
      </c>
      <c r="DC42">
        <f t="shared" si="13"/>
        <v>0</v>
      </c>
      <c r="DD42" t="s">
        <v>3</v>
      </c>
      <c r="DE42" t="s">
        <v>3</v>
      </c>
      <c r="DF42">
        <f>ROUND(ROUND(AE42*AI42,2)*CX42,2)</f>
        <v>87.95</v>
      </c>
      <c r="DG42">
        <f t="shared" si="15"/>
        <v>0</v>
      </c>
      <c r="DH42">
        <f t="shared" si="16"/>
        <v>0</v>
      </c>
      <c r="DI42">
        <f t="shared" si="14"/>
        <v>0</v>
      </c>
      <c r="DJ42">
        <f>DF42</f>
        <v>87.95</v>
      </c>
      <c r="DK42">
        <v>0</v>
      </c>
      <c r="DL42" t="s">
        <v>3</v>
      </c>
      <c r="DM42">
        <v>0</v>
      </c>
      <c r="DN42" t="s">
        <v>3</v>
      </c>
      <c r="DO42">
        <v>0</v>
      </c>
    </row>
    <row r="43" spans="1:119" x14ac:dyDescent="0.2">
      <c r="A43">
        <f>ROW(Source!A34)</f>
        <v>34</v>
      </c>
      <c r="B43">
        <v>92408302</v>
      </c>
      <c r="C43">
        <v>92408463</v>
      </c>
      <c r="D43">
        <v>37801918</v>
      </c>
      <c r="E43">
        <v>1</v>
      </c>
      <c r="F43">
        <v>1</v>
      </c>
      <c r="G43">
        <v>1</v>
      </c>
      <c r="H43">
        <v>3</v>
      </c>
      <c r="I43" t="s">
        <v>100</v>
      </c>
      <c r="J43" t="s">
        <v>103</v>
      </c>
      <c r="K43" t="s">
        <v>101</v>
      </c>
      <c r="L43">
        <v>1374</v>
      </c>
      <c r="N43">
        <v>1013</v>
      </c>
      <c r="O43" t="s">
        <v>102</v>
      </c>
      <c r="P43" t="s">
        <v>102</v>
      </c>
      <c r="Q43">
        <v>1</v>
      </c>
      <c r="W43">
        <v>0</v>
      </c>
      <c r="X43">
        <v>2131831278</v>
      </c>
      <c r="Y43">
        <f t="shared" si="11"/>
        <v>3.64</v>
      </c>
      <c r="AA43">
        <v>1</v>
      </c>
      <c r="AB43">
        <v>0</v>
      </c>
      <c r="AC43">
        <v>0</v>
      </c>
      <c r="AD43">
        <v>0</v>
      </c>
      <c r="AE43">
        <v>1</v>
      </c>
      <c r="AF43">
        <v>0</v>
      </c>
      <c r="AG43">
        <v>0</v>
      </c>
      <c r="AH43">
        <v>0</v>
      </c>
      <c r="AI43">
        <v>1</v>
      </c>
      <c r="AJ43">
        <v>1</v>
      </c>
      <c r="AK43">
        <v>1</v>
      </c>
      <c r="AL43">
        <v>1</v>
      </c>
      <c r="AM43">
        <v>-2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3.64</v>
      </c>
      <c r="AU43" t="s">
        <v>3</v>
      </c>
      <c r="AV43">
        <v>0</v>
      </c>
      <c r="AW43">
        <v>2</v>
      </c>
      <c r="AX43">
        <v>92408485</v>
      </c>
      <c r="AY43">
        <v>1</v>
      </c>
      <c r="AZ43">
        <v>0</v>
      </c>
      <c r="BA43">
        <v>43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V43">
        <v>0</v>
      </c>
      <c r="CW43">
        <v>0</v>
      </c>
      <c r="CX43">
        <f>ROUND(Y43*Source!I34,9)</f>
        <v>1.6015999999999999</v>
      </c>
      <c r="CY43">
        <f>AA43</f>
        <v>1</v>
      </c>
      <c r="CZ43">
        <f>AE43</f>
        <v>1</v>
      </c>
      <c r="DA43">
        <f>AI43</f>
        <v>1</v>
      </c>
      <c r="DB43">
        <f t="shared" si="12"/>
        <v>3.64</v>
      </c>
      <c r="DC43">
        <f t="shared" si="13"/>
        <v>0</v>
      </c>
      <c r="DD43" t="s">
        <v>3</v>
      </c>
      <c r="DE43" t="s">
        <v>3</v>
      </c>
      <c r="DF43">
        <f t="shared" ref="DF43:DF49" si="17">ROUND(ROUND(AE43,2)*CX43,2)</f>
        <v>1.6</v>
      </c>
      <c r="DG43">
        <f t="shared" si="15"/>
        <v>0</v>
      </c>
      <c r="DH43">
        <f t="shared" si="16"/>
        <v>0</v>
      </c>
      <c r="DI43">
        <f t="shared" si="14"/>
        <v>0</v>
      </c>
      <c r="DJ43">
        <f>DF43</f>
        <v>1.6</v>
      </c>
      <c r="DK43">
        <v>0</v>
      </c>
      <c r="DL43" t="s">
        <v>3</v>
      </c>
      <c r="DM43">
        <v>0</v>
      </c>
      <c r="DN43" t="s">
        <v>3</v>
      </c>
      <c r="DO43">
        <v>0</v>
      </c>
    </row>
    <row r="44" spans="1:119" x14ac:dyDescent="0.2">
      <c r="A44">
        <f>ROW(Source!A35)</f>
        <v>35</v>
      </c>
      <c r="B44">
        <v>92408302</v>
      </c>
      <c r="C44">
        <v>92408486</v>
      </c>
      <c r="D44">
        <v>23351395</v>
      </c>
      <c r="E44">
        <v>1</v>
      </c>
      <c r="F44">
        <v>1</v>
      </c>
      <c r="G44">
        <v>1</v>
      </c>
      <c r="H44">
        <v>1</v>
      </c>
      <c r="I44" t="s">
        <v>337</v>
      </c>
      <c r="J44" t="s">
        <v>3</v>
      </c>
      <c r="K44" t="s">
        <v>338</v>
      </c>
      <c r="L44">
        <v>1369</v>
      </c>
      <c r="N44">
        <v>1013</v>
      </c>
      <c r="O44" t="s">
        <v>325</v>
      </c>
      <c r="P44" t="s">
        <v>325</v>
      </c>
      <c r="Q44">
        <v>1</v>
      </c>
      <c r="W44">
        <v>0</v>
      </c>
      <c r="X44">
        <v>1072260845</v>
      </c>
      <c r="Y44">
        <f t="shared" si="11"/>
        <v>10.24</v>
      </c>
      <c r="AA44">
        <v>0</v>
      </c>
      <c r="AB44">
        <v>0</v>
      </c>
      <c r="AC44">
        <v>0</v>
      </c>
      <c r="AD44">
        <v>8.99</v>
      </c>
      <c r="AE44">
        <v>0</v>
      </c>
      <c r="AF44">
        <v>0</v>
      </c>
      <c r="AG44">
        <v>0</v>
      </c>
      <c r="AH44">
        <v>8.99</v>
      </c>
      <c r="AI44">
        <v>1</v>
      </c>
      <c r="AJ44">
        <v>1</v>
      </c>
      <c r="AK44">
        <v>1</v>
      </c>
      <c r="AL44">
        <v>1</v>
      </c>
      <c r="AM44">
        <v>-2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10.24</v>
      </c>
      <c r="AU44" t="s">
        <v>3</v>
      </c>
      <c r="AV44">
        <v>1</v>
      </c>
      <c r="AW44">
        <v>2</v>
      </c>
      <c r="AX44">
        <v>92408497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U44">
        <f>ROUND(AT44*Source!I35*AH44*AL44,2)</f>
        <v>73.650000000000006</v>
      </c>
      <c r="CV44">
        <f>ROUND(Y44*Source!I35,9)</f>
        <v>8.1920000000000002</v>
      </c>
      <c r="CW44">
        <v>0</v>
      </c>
      <c r="CX44">
        <f>ROUND(Y44*Source!I35,9)</f>
        <v>8.1920000000000002</v>
      </c>
      <c r="CY44">
        <f>AD44</f>
        <v>8.99</v>
      </c>
      <c r="CZ44">
        <f>AH44</f>
        <v>8.99</v>
      </c>
      <c r="DA44">
        <f>AL44</f>
        <v>1</v>
      </c>
      <c r="DB44">
        <f t="shared" si="12"/>
        <v>92.06</v>
      </c>
      <c r="DC44">
        <f t="shared" si="13"/>
        <v>0</v>
      </c>
      <c r="DD44" t="s">
        <v>3</v>
      </c>
      <c r="DE44" t="s">
        <v>3</v>
      </c>
      <c r="DF44">
        <f t="shared" si="17"/>
        <v>0</v>
      </c>
      <c r="DG44">
        <f t="shared" si="15"/>
        <v>0</v>
      </c>
      <c r="DH44">
        <f t="shared" si="16"/>
        <v>0</v>
      </c>
      <c r="DI44">
        <f t="shared" si="14"/>
        <v>73.650000000000006</v>
      </c>
      <c r="DJ44">
        <f>DI44</f>
        <v>73.650000000000006</v>
      </c>
      <c r="DK44">
        <v>0</v>
      </c>
      <c r="DL44" t="s">
        <v>3</v>
      </c>
      <c r="DM44">
        <v>0</v>
      </c>
      <c r="DN44" t="s">
        <v>3</v>
      </c>
      <c r="DO44">
        <v>0</v>
      </c>
    </row>
    <row r="45" spans="1:119" x14ac:dyDescent="0.2">
      <c r="A45">
        <f>ROW(Source!A35)</f>
        <v>35</v>
      </c>
      <c r="B45">
        <v>92408302</v>
      </c>
      <c r="C45">
        <v>92408486</v>
      </c>
      <c r="D45">
        <v>121548</v>
      </c>
      <c r="E45">
        <v>1</v>
      </c>
      <c r="F45">
        <v>1</v>
      </c>
      <c r="G45">
        <v>1</v>
      </c>
      <c r="H45">
        <v>1</v>
      </c>
      <c r="I45" t="s">
        <v>24</v>
      </c>
      <c r="J45" t="s">
        <v>3</v>
      </c>
      <c r="K45" t="s">
        <v>326</v>
      </c>
      <c r="L45">
        <v>608254</v>
      </c>
      <c r="N45">
        <v>1013</v>
      </c>
      <c r="O45" t="s">
        <v>327</v>
      </c>
      <c r="P45" t="s">
        <v>327</v>
      </c>
      <c r="Q45">
        <v>1</v>
      </c>
      <c r="W45">
        <v>0</v>
      </c>
      <c r="X45">
        <v>-185737400</v>
      </c>
      <c r="Y45">
        <f t="shared" si="11"/>
        <v>0.2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1</v>
      </c>
      <c r="AJ45">
        <v>1</v>
      </c>
      <c r="AK45">
        <v>1</v>
      </c>
      <c r="AL45">
        <v>1</v>
      </c>
      <c r="AM45">
        <v>-2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0.2</v>
      </c>
      <c r="AU45" t="s">
        <v>3</v>
      </c>
      <c r="AV45">
        <v>2</v>
      </c>
      <c r="AW45">
        <v>2</v>
      </c>
      <c r="AX45">
        <v>92408498</v>
      </c>
      <c r="AY45">
        <v>1</v>
      </c>
      <c r="AZ45">
        <v>0</v>
      </c>
      <c r="BA45">
        <v>45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V45">
        <v>0</v>
      </c>
      <c r="CW45">
        <v>0</v>
      </c>
      <c r="CX45">
        <f>ROUND(Y45*Source!I35,9)</f>
        <v>0.16</v>
      </c>
      <c r="CY45">
        <f>AD45</f>
        <v>0</v>
      </c>
      <c r="CZ45">
        <f>AH45</f>
        <v>0</v>
      </c>
      <c r="DA45">
        <f>AL45</f>
        <v>1</v>
      </c>
      <c r="DB45">
        <f t="shared" si="12"/>
        <v>0</v>
      </c>
      <c r="DC45">
        <f t="shared" si="13"/>
        <v>0</v>
      </c>
      <c r="DD45" t="s">
        <v>3</v>
      </c>
      <c r="DE45" t="s">
        <v>3</v>
      </c>
      <c r="DF45">
        <f t="shared" si="17"/>
        <v>0</v>
      </c>
      <c r="DG45">
        <f t="shared" si="15"/>
        <v>0</v>
      </c>
      <c r="DH45">
        <f t="shared" si="16"/>
        <v>0</v>
      </c>
      <c r="DI45">
        <f t="shared" si="14"/>
        <v>0</v>
      </c>
      <c r="DJ45">
        <f>DI45</f>
        <v>0</v>
      </c>
      <c r="DK45">
        <v>0</v>
      </c>
      <c r="DL45" t="s">
        <v>3</v>
      </c>
      <c r="DM45">
        <v>0</v>
      </c>
      <c r="DN45" t="s">
        <v>3</v>
      </c>
      <c r="DO45">
        <v>0</v>
      </c>
    </row>
    <row r="46" spans="1:119" x14ac:dyDescent="0.2">
      <c r="A46">
        <f>ROW(Source!A35)</f>
        <v>35</v>
      </c>
      <c r="B46">
        <v>92408302</v>
      </c>
      <c r="C46">
        <v>92408486</v>
      </c>
      <c r="D46">
        <v>37802432</v>
      </c>
      <c r="E46">
        <v>1</v>
      </c>
      <c r="F46">
        <v>1</v>
      </c>
      <c r="G46">
        <v>1</v>
      </c>
      <c r="H46">
        <v>2</v>
      </c>
      <c r="I46" t="s">
        <v>342</v>
      </c>
      <c r="J46" t="s">
        <v>343</v>
      </c>
      <c r="K46" t="s">
        <v>344</v>
      </c>
      <c r="L46">
        <v>1368</v>
      </c>
      <c r="N46">
        <v>1011</v>
      </c>
      <c r="O46" t="s">
        <v>331</v>
      </c>
      <c r="P46" t="s">
        <v>331</v>
      </c>
      <c r="Q46">
        <v>1</v>
      </c>
      <c r="W46">
        <v>0</v>
      </c>
      <c r="X46">
        <v>-1424728221</v>
      </c>
      <c r="Y46">
        <f t="shared" si="11"/>
        <v>0.2</v>
      </c>
      <c r="AA46">
        <v>0</v>
      </c>
      <c r="AB46">
        <v>1453.28</v>
      </c>
      <c r="AC46">
        <v>400.27</v>
      </c>
      <c r="AD46">
        <v>0</v>
      </c>
      <c r="AE46">
        <v>0</v>
      </c>
      <c r="AF46">
        <v>138.54</v>
      </c>
      <c r="AG46">
        <v>12.1</v>
      </c>
      <c r="AH46">
        <v>0</v>
      </c>
      <c r="AI46">
        <v>1</v>
      </c>
      <c r="AJ46">
        <v>10.49</v>
      </c>
      <c r="AK46">
        <v>33.08</v>
      </c>
      <c r="AL46">
        <v>1</v>
      </c>
      <c r="AM46">
        <v>2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0.2</v>
      </c>
      <c r="AU46" t="s">
        <v>3</v>
      </c>
      <c r="AV46">
        <v>0</v>
      </c>
      <c r="AW46">
        <v>2</v>
      </c>
      <c r="AX46">
        <v>92408499</v>
      </c>
      <c r="AY46">
        <v>1</v>
      </c>
      <c r="AZ46">
        <v>0</v>
      </c>
      <c r="BA46">
        <v>46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V46">
        <v>0</v>
      </c>
      <c r="CW46">
        <f>ROUND(Y46*Source!I35,9)</f>
        <v>0.16</v>
      </c>
      <c r="CX46">
        <f>ROUND(Y46*Source!I35,9)</f>
        <v>0.16</v>
      </c>
      <c r="CY46">
        <f>AB46</f>
        <v>1453.28</v>
      </c>
      <c r="CZ46">
        <f>AF46</f>
        <v>138.54</v>
      </c>
      <c r="DA46">
        <f>AJ46</f>
        <v>10.49</v>
      </c>
      <c r="DB46">
        <f t="shared" si="12"/>
        <v>27.71</v>
      </c>
      <c r="DC46">
        <f t="shared" si="13"/>
        <v>2.42</v>
      </c>
      <c r="DD46" t="s">
        <v>3</v>
      </c>
      <c r="DE46" t="s">
        <v>3</v>
      </c>
      <c r="DF46">
        <f t="shared" si="17"/>
        <v>0</v>
      </c>
      <c r="DG46">
        <f>ROUND(ROUND(AF46*AJ46,2)*CX46,2)</f>
        <v>232.52</v>
      </c>
      <c r="DH46">
        <f>ROUND(ROUND(AG46*AK46,2)*CX46,2)</f>
        <v>64.040000000000006</v>
      </c>
      <c r="DI46">
        <f t="shared" si="14"/>
        <v>0</v>
      </c>
      <c r="DJ46">
        <f>DG46</f>
        <v>232.52</v>
      </c>
      <c r="DK46">
        <v>0</v>
      </c>
      <c r="DL46" t="s">
        <v>3</v>
      </c>
      <c r="DM46">
        <v>0</v>
      </c>
      <c r="DN46" t="s">
        <v>3</v>
      </c>
      <c r="DO46">
        <v>0</v>
      </c>
    </row>
    <row r="47" spans="1:119" x14ac:dyDescent="0.2">
      <c r="A47">
        <f>ROW(Source!A35)</f>
        <v>35</v>
      </c>
      <c r="B47">
        <v>92408302</v>
      </c>
      <c r="C47">
        <v>92408486</v>
      </c>
      <c r="D47">
        <v>37802530</v>
      </c>
      <c r="E47">
        <v>1</v>
      </c>
      <c r="F47">
        <v>1</v>
      </c>
      <c r="G47">
        <v>1</v>
      </c>
      <c r="H47">
        <v>2</v>
      </c>
      <c r="I47" t="s">
        <v>345</v>
      </c>
      <c r="J47" t="s">
        <v>346</v>
      </c>
      <c r="K47" t="s">
        <v>347</v>
      </c>
      <c r="L47">
        <v>1368</v>
      </c>
      <c r="N47">
        <v>1011</v>
      </c>
      <c r="O47" t="s">
        <v>331</v>
      </c>
      <c r="P47" t="s">
        <v>331</v>
      </c>
      <c r="Q47">
        <v>1</v>
      </c>
      <c r="W47">
        <v>0</v>
      </c>
      <c r="X47">
        <v>11972859</v>
      </c>
      <c r="Y47">
        <f t="shared" si="11"/>
        <v>2.23</v>
      </c>
      <c r="AA47">
        <v>0</v>
      </c>
      <c r="AB47">
        <v>8.09</v>
      </c>
      <c r="AC47">
        <v>0</v>
      </c>
      <c r="AD47">
        <v>0</v>
      </c>
      <c r="AE47">
        <v>0</v>
      </c>
      <c r="AF47">
        <v>1.52</v>
      </c>
      <c r="AG47">
        <v>0</v>
      </c>
      <c r="AH47">
        <v>0</v>
      </c>
      <c r="AI47">
        <v>1</v>
      </c>
      <c r="AJ47">
        <v>5.32</v>
      </c>
      <c r="AK47">
        <v>33.08</v>
      </c>
      <c r="AL47">
        <v>1</v>
      </c>
      <c r="AM47">
        <v>2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2.23</v>
      </c>
      <c r="AU47" t="s">
        <v>3</v>
      </c>
      <c r="AV47">
        <v>0</v>
      </c>
      <c r="AW47">
        <v>2</v>
      </c>
      <c r="AX47">
        <v>92408500</v>
      </c>
      <c r="AY47">
        <v>1</v>
      </c>
      <c r="AZ47">
        <v>0</v>
      </c>
      <c r="BA47">
        <v>47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V47">
        <v>0</v>
      </c>
      <c r="CW47">
        <f>ROUND(Y47*Source!I35,9)</f>
        <v>1.784</v>
      </c>
      <c r="CX47">
        <f>ROUND(Y47*Source!I35,9)</f>
        <v>1.784</v>
      </c>
      <c r="CY47">
        <f>AB47</f>
        <v>8.09</v>
      </c>
      <c r="CZ47">
        <f>AF47</f>
        <v>1.52</v>
      </c>
      <c r="DA47">
        <f>AJ47</f>
        <v>5.32</v>
      </c>
      <c r="DB47">
        <f t="shared" si="12"/>
        <v>3.39</v>
      </c>
      <c r="DC47">
        <f t="shared" si="13"/>
        <v>0</v>
      </c>
      <c r="DD47" t="s">
        <v>3</v>
      </c>
      <c r="DE47" t="s">
        <v>3</v>
      </c>
      <c r="DF47">
        <f t="shared" si="17"/>
        <v>0</v>
      </c>
      <c r="DG47">
        <f>ROUND(ROUND(AF47*AJ47,2)*CX47,2)</f>
        <v>14.43</v>
      </c>
      <c r="DH47">
        <f>ROUND(ROUND(AG47*AK47,2)*CX47,2)</f>
        <v>0</v>
      </c>
      <c r="DI47">
        <f t="shared" si="14"/>
        <v>0</v>
      </c>
      <c r="DJ47">
        <f>DG47</f>
        <v>14.43</v>
      </c>
      <c r="DK47">
        <v>0</v>
      </c>
      <c r="DL47" t="s">
        <v>3</v>
      </c>
      <c r="DM47">
        <v>0</v>
      </c>
      <c r="DN47" t="s">
        <v>3</v>
      </c>
      <c r="DO47">
        <v>0</v>
      </c>
    </row>
    <row r="48" spans="1:119" x14ac:dyDescent="0.2">
      <c r="A48">
        <f>ROW(Source!A35)</f>
        <v>35</v>
      </c>
      <c r="B48">
        <v>92408302</v>
      </c>
      <c r="C48">
        <v>92408486</v>
      </c>
      <c r="D48">
        <v>37802544</v>
      </c>
      <c r="E48">
        <v>1</v>
      </c>
      <c r="F48">
        <v>1</v>
      </c>
      <c r="G48">
        <v>1</v>
      </c>
      <c r="H48">
        <v>2</v>
      </c>
      <c r="I48" t="s">
        <v>348</v>
      </c>
      <c r="J48" t="s">
        <v>349</v>
      </c>
      <c r="K48" t="s">
        <v>350</v>
      </c>
      <c r="L48">
        <v>1368</v>
      </c>
      <c r="N48">
        <v>1011</v>
      </c>
      <c r="O48" t="s">
        <v>331</v>
      </c>
      <c r="P48" t="s">
        <v>331</v>
      </c>
      <c r="Q48">
        <v>1</v>
      </c>
      <c r="W48">
        <v>0</v>
      </c>
      <c r="X48">
        <v>-892985829</v>
      </c>
      <c r="Y48">
        <f t="shared" si="11"/>
        <v>2.23</v>
      </c>
      <c r="AA48">
        <v>0</v>
      </c>
      <c r="AB48">
        <v>37.11</v>
      </c>
      <c r="AC48">
        <v>0</v>
      </c>
      <c r="AD48">
        <v>0</v>
      </c>
      <c r="AE48">
        <v>0</v>
      </c>
      <c r="AF48">
        <v>7.11</v>
      </c>
      <c r="AG48">
        <v>0</v>
      </c>
      <c r="AH48">
        <v>0</v>
      </c>
      <c r="AI48">
        <v>1</v>
      </c>
      <c r="AJ48">
        <v>5.22</v>
      </c>
      <c r="AK48">
        <v>33.08</v>
      </c>
      <c r="AL48">
        <v>1</v>
      </c>
      <c r="AM48">
        <v>2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2.23</v>
      </c>
      <c r="AU48" t="s">
        <v>3</v>
      </c>
      <c r="AV48">
        <v>0</v>
      </c>
      <c r="AW48">
        <v>2</v>
      </c>
      <c r="AX48">
        <v>92408501</v>
      </c>
      <c r="AY48">
        <v>1</v>
      </c>
      <c r="AZ48">
        <v>0</v>
      </c>
      <c r="BA48">
        <v>48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V48">
        <v>0</v>
      </c>
      <c r="CW48">
        <f>ROUND(Y48*Source!I35,9)</f>
        <v>1.784</v>
      </c>
      <c r="CX48">
        <f>ROUND(Y48*Source!I35,9)</f>
        <v>1.784</v>
      </c>
      <c r="CY48">
        <f>AB48</f>
        <v>37.11</v>
      </c>
      <c r="CZ48">
        <f>AF48</f>
        <v>7.11</v>
      </c>
      <c r="DA48">
        <f>AJ48</f>
        <v>5.22</v>
      </c>
      <c r="DB48">
        <f t="shared" si="12"/>
        <v>15.86</v>
      </c>
      <c r="DC48">
        <f t="shared" si="13"/>
        <v>0</v>
      </c>
      <c r="DD48" t="s">
        <v>3</v>
      </c>
      <c r="DE48" t="s">
        <v>3</v>
      </c>
      <c r="DF48">
        <f t="shared" si="17"/>
        <v>0</v>
      </c>
      <c r="DG48">
        <f>ROUND(ROUND(AF48*AJ48,2)*CX48,2)</f>
        <v>66.2</v>
      </c>
      <c r="DH48">
        <f>ROUND(ROUND(AG48*AK48,2)*CX48,2)</f>
        <v>0</v>
      </c>
      <c r="DI48">
        <f t="shared" si="14"/>
        <v>0</v>
      </c>
      <c r="DJ48">
        <f>DG48</f>
        <v>66.2</v>
      </c>
      <c r="DK48">
        <v>0</v>
      </c>
      <c r="DL48" t="s">
        <v>3</v>
      </c>
      <c r="DM48">
        <v>0</v>
      </c>
      <c r="DN48" t="s">
        <v>3</v>
      </c>
      <c r="DO48">
        <v>0</v>
      </c>
    </row>
    <row r="49" spans="1:119" x14ac:dyDescent="0.2">
      <c r="A49">
        <f>ROW(Source!A35)</f>
        <v>35</v>
      </c>
      <c r="B49">
        <v>92408302</v>
      </c>
      <c r="C49">
        <v>92408486</v>
      </c>
      <c r="D49">
        <v>37804456</v>
      </c>
      <c r="E49">
        <v>1</v>
      </c>
      <c r="F49">
        <v>1</v>
      </c>
      <c r="G49">
        <v>1</v>
      </c>
      <c r="H49">
        <v>2</v>
      </c>
      <c r="I49" t="s">
        <v>339</v>
      </c>
      <c r="J49" t="s">
        <v>340</v>
      </c>
      <c r="K49" t="s">
        <v>341</v>
      </c>
      <c r="L49">
        <v>1368</v>
      </c>
      <c r="N49">
        <v>1011</v>
      </c>
      <c r="O49" t="s">
        <v>331</v>
      </c>
      <c r="P49" t="s">
        <v>331</v>
      </c>
      <c r="Q49">
        <v>1</v>
      </c>
      <c r="W49">
        <v>0</v>
      </c>
      <c r="X49">
        <v>-671646184</v>
      </c>
      <c r="Y49">
        <f t="shared" si="11"/>
        <v>0.2</v>
      </c>
      <c r="AA49">
        <v>0</v>
      </c>
      <c r="AB49">
        <v>1289.23</v>
      </c>
      <c r="AC49">
        <v>342.38</v>
      </c>
      <c r="AD49">
        <v>0</v>
      </c>
      <c r="AE49">
        <v>0</v>
      </c>
      <c r="AF49">
        <v>91.76</v>
      </c>
      <c r="AG49">
        <v>10.35</v>
      </c>
      <c r="AH49">
        <v>0</v>
      </c>
      <c r="AI49">
        <v>1</v>
      </c>
      <c r="AJ49">
        <v>14.05</v>
      </c>
      <c r="AK49">
        <v>33.08</v>
      </c>
      <c r="AL49">
        <v>1</v>
      </c>
      <c r="AM49">
        <v>2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3</v>
      </c>
      <c r="AT49">
        <v>0.2</v>
      </c>
      <c r="AU49" t="s">
        <v>3</v>
      </c>
      <c r="AV49">
        <v>0</v>
      </c>
      <c r="AW49">
        <v>2</v>
      </c>
      <c r="AX49">
        <v>92408502</v>
      </c>
      <c r="AY49">
        <v>1</v>
      </c>
      <c r="AZ49">
        <v>0</v>
      </c>
      <c r="BA49">
        <v>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V49">
        <v>0</v>
      </c>
      <c r="CW49">
        <f>ROUND(Y49*Source!I35,9)</f>
        <v>0.16</v>
      </c>
      <c r="CX49">
        <f>ROUND(Y49*Source!I35,9)</f>
        <v>0.16</v>
      </c>
      <c r="CY49">
        <f>AB49</f>
        <v>1289.23</v>
      </c>
      <c r="CZ49">
        <f>AF49</f>
        <v>91.76</v>
      </c>
      <c r="DA49">
        <f>AJ49</f>
        <v>14.05</v>
      </c>
      <c r="DB49">
        <f t="shared" si="12"/>
        <v>18.350000000000001</v>
      </c>
      <c r="DC49">
        <f t="shared" si="13"/>
        <v>2.0699999999999998</v>
      </c>
      <c r="DD49" t="s">
        <v>3</v>
      </c>
      <c r="DE49" t="s">
        <v>3</v>
      </c>
      <c r="DF49">
        <f t="shared" si="17"/>
        <v>0</v>
      </c>
      <c r="DG49">
        <f>ROUND(ROUND(AF49*AJ49,2)*CX49,2)</f>
        <v>206.28</v>
      </c>
      <c r="DH49">
        <f>ROUND(ROUND(AG49*AK49,2)*CX49,2)</f>
        <v>54.78</v>
      </c>
      <c r="DI49">
        <f t="shared" si="14"/>
        <v>0</v>
      </c>
      <c r="DJ49">
        <f>DG49</f>
        <v>206.28</v>
      </c>
      <c r="DK49">
        <v>0</v>
      </c>
      <c r="DL49" t="s">
        <v>3</v>
      </c>
      <c r="DM49">
        <v>0</v>
      </c>
      <c r="DN49" t="s">
        <v>3</v>
      </c>
      <c r="DO49">
        <v>0</v>
      </c>
    </row>
    <row r="50" spans="1:119" x14ac:dyDescent="0.2">
      <c r="A50">
        <f>ROW(Source!A35)</f>
        <v>35</v>
      </c>
      <c r="B50">
        <v>92408302</v>
      </c>
      <c r="C50">
        <v>92408486</v>
      </c>
      <c r="D50">
        <v>37733003</v>
      </c>
      <c r="E50">
        <v>1</v>
      </c>
      <c r="F50">
        <v>1</v>
      </c>
      <c r="G50">
        <v>1</v>
      </c>
      <c r="H50">
        <v>3</v>
      </c>
      <c r="I50" t="s">
        <v>351</v>
      </c>
      <c r="J50" t="s">
        <v>352</v>
      </c>
      <c r="K50" t="s">
        <v>353</v>
      </c>
      <c r="L50">
        <v>1308</v>
      </c>
      <c r="N50">
        <v>1003</v>
      </c>
      <c r="O50" t="s">
        <v>66</v>
      </c>
      <c r="P50" t="s">
        <v>66</v>
      </c>
      <c r="Q50">
        <v>100</v>
      </c>
      <c r="W50">
        <v>0</v>
      </c>
      <c r="X50">
        <v>-737867663</v>
      </c>
      <c r="Y50">
        <f t="shared" si="11"/>
        <v>9.6000000000000002E-2</v>
      </c>
      <c r="AA50">
        <v>767.34</v>
      </c>
      <c r="AB50">
        <v>0</v>
      </c>
      <c r="AC50">
        <v>0</v>
      </c>
      <c r="AD50">
        <v>0</v>
      </c>
      <c r="AE50">
        <v>121.8</v>
      </c>
      <c r="AF50">
        <v>0</v>
      </c>
      <c r="AG50">
        <v>0</v>
      </c>
      <c r="AH50">
        <v>0</v>
      </c>
      <c r="AI50">
        <v>6.3</v>
      </c>
      <c r="AJ50">
        <v>1</v>
      </c>
      <c r="AK50">
        <v>1</v>
      </c>
      <c r="AL50">
        <v>1</v>
      </c>
      <c r="AM50">
        <v>2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3</v>
      </c>
      <c r="AT50">
        <v>9.6000000000000002E-2</v>
      </c>
      <c r="AU50" t="s">
        <v>3</v>
      </c>
      <c r="AV50">
        <v>0</v>
      </c>
      <c r="AW50">
        <v>2</v>
      </c>
      <c r="AX50">
        <v>92408503</v>
      </c>
      <c r="AY50">
        <v>1</v>
      </c>
      <c r="AZ50">
        <v>0</v>
      </c>
      <c r="BA50">
        <v>50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V50">
        <v>0</v>
      </c>
      <c r="CW50">
        <v>0</v>
      </c>
      <c r="CX50">
        <f>ROUND(Y50*Source!I35,9)</f>
        <v>7.6799999999999993E-2</v>
      </c>
      <c r="CY50">
        <f>AA50</f>
        <v>767.34</v>
      </c>
      <c r="CZ50">
        <f>AE50</f>
        <v>121.8</v>
      </c>
      <c r="DA50">
        <f>AI50</f>
        <v>6.3</v>
      </c>
      <c r="DB50">
        <f t="shared" si="12"/>
        <v>11.69</v>
      </c>
      <c r="DC50">
        <f t="shared" si="13"/>
        <v>0</v>
      </c>
      <c r="DD50" t="s">
        <v>3</v>
      </c>
      <c r="DE50" t="s">
        <v>3</v>
      </c>
      <c r="DF50">
        <f>ROUND(ROUND(AE50*AI50,2)*CX50,2)</f>
        <v>58.93</v>
      </c>
      <c r="DG50">
        <f t="shared" ref="DG50:DG60" si="18">ROUND(ROUND(AF50,2)*CX50,2)</f>
        <v>0</v>
      </c>
      <c r="DH50">
        <f t="shared" ref="DH50:DH60" si="19">ROUND(ROUND(AG50,2)*CX50,2)</f>
        <v>0</v>
      </c>
      <c r="DI50">
        <f t="shared" si="14"/>
        <v>0</v>
      </c>
      <c r="DJ50">
        <f>DF50</f>
        <v>58.93</v>
      </c>
      <c r="DK50">
        <v>0</v>
      </c>
      <c r="DL50" t="s">
        <v>3</v>
      </c>
      <c r="DM50">
        <v>0</v>
      </c>
      <c r="DN50" t="s">
        <v>3</v>
      </c>
      <c r="DO50">
        <v>0</v>
      </c>
    </row>
    <row r="51" spans="1:119" x14ac:dyDescent="0.2">
      <c r="A51">
        <f>ROW(Source!A35)</f>
        <v>35</v>
      </c>
      <c r="B51">
        <v>92408302</v>
      </c>
      <c r="C51">
        <v>92408486</v>
      </c>
      <c r="D51">
        <v>37745017</v>
      </c>
      <c r="E51">
        <v>1</v>
      </c>
      <c r="F51">
        <v>1</v>
      </c>
      <c r="G51">
        <v>1</v>
      </c>
      <c r="H51">
        <v>3</v>
      </c>
      <c r="I51" t="s">
        <v>354</v>
      </c>
      <c r="J51" t="s">
        <v>355</v>
      </c>
      <c r="K51" t="s">
        <v>356</v>
      </c>
      <c r="L51">
        <v>1348</v>
      </c>
      <c r="N51">
        <v>1009</v>
      </c>
      <c r="O51" t="s">
        <v>97</v>
      </c>
      <c r="P51" t="s">
        <v>97</v>
      </c>
      <c r="Q51">
        <v>1000</v>
      </c>
      <c r="W51">
        <v>0</v>
      </c>
      <c r="X51">
        <v>-1286039561</v>
      </c>
      <c r="Y51">
        <f t="shared" si="11"/>
        <v>6.0000000000000002E-5</v>
      </c>
      <c r="AA51">
        <v>77557.919999999998</v>
      </c>
      <c r="AB51">
        <v>0</v>
      </c>
      <c r="AC51">
        <v>0</v>
      </c>
      <c r="AD51">
        <v>0</v>
      </c>
      <c r="AE51">
        <v>9528</v>
      </c>
      <c r="AF51">
        <v>0</v>
      </c>
      <c r="AG51">
        <v>0</v>
      </c>
      <c r="AH51">
        <v>0</v>
      </c>
      <c r="AI51">
        <v>8.14</v>
      </c>
      <c r="AJ51">
        <v>1</v>
      </c>
      <c r="AK51">
        <v>1</v>
      </c>
      <c r="AL51">
        <v>1</v>
      </c>
      <c r="AM51">
        <v>2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</v>
      </c>
      <c r="AT51">
        <v>6.0000000000000002E-5</v>
      </c>
      <c r="AU51" t="s">
        <v>3</v>
      </c>
      <c r="AV51">
        <v>0</v>
      </c>
      <c r="AW51">
        <v>2</v>
      </c>
      <c r="AX51">
        <v>92408504</v>
      </c>
      <c r="AY51">
        <v>1</v>
      </c>
      <c r="AZ51">
        <v>0</v>
      </c>
      <c r="BA51"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V51">
        <v>0</v>
      </c>
      <c r="CW51">
        <v>0</v>
      </c>
      <c r="CX51">
        <f>ROUND(Y51*Source!I35,9)</f>
        <v>4.8000000000000001E-5</v>
      </c>
      <c r="CY51">
        <f>AA51</f>
        <v>77557.919999999998</v>
      </c>
      <c r="CZ51">
        <f>AE51</f>
        <v>9528</v>
      </c>
      <c r="DA51">
        <f>AI51</f>
        <v>8.14</v>
      </c>
      <c r="DB51">
        <f t="shared" si="12"/>
        <v>0.56999999999999995</v>
      </c>
      <c r="DC51">
        <f t="shared" si="13"/>
        <v>0</v>
      </c>
      <c r="DD51" t="s">
        <v>3</v>
      </c>
      <c r="DE51" t="s">
        <v>3</v>
      </c>
      <c r="DF51">
        <f>ROUND(ROUND(AE51*AI51,2)*CX51,2)</f>
        <v>3.72</v>
      </c>
      <c r="DG51">
        <f t="shared" si="18"/>
        <v>0</v>
      </c>
      <c r="DH51">
        <f t="shared" si="19"/>
        <v>0</v>
      </c>
      <c r="DI51">
        <f t="shared" si="14"/>
        <v>0</v>
      </c>
      <c r="DJ51">
        <f>DF51</f>
        <v>3.72</v>
      </c>
      <c r="DK51">
        <v>0</v>
      </c>
      <c r="DL51" t="s">
        <v>3</v>
      </c>
      <c r="DM51">
        <v>0</v>
      </c>
      <c r="DN51" t="s">
        <v>3</v>
      </c>
      <c r="DO51">
        <v>0</v>
      </c>
    </row>
    <row r="52" spans="1:119" x14ac:dyDescent="0.2">
      <c r="A52">
        <f>ROW(Source!A35)</f>
        <v>35</v>
      </c>
      <c r="B52">
        <v>92408302</v>
      </c>
      <c r="C52">
        <v>92408486</v>
      </c>
      <c r="D52">
        <v>37785796</v>
      </c>
      <c r="E52">
        <v>1</v>
      </c>
      <c r="F52">
        <v>1</v>
      </c>
      <c r="G52">
        <v>1</v>
      </c>
      <c r="H52">
        <v>3</v>
      </c>
      <c r="I52" t="s">
        <v>59</v>
      </c>
      <c r="J52" t="s">
        <v>62</v>
      </c>
      <c r="K52" t="s">
        <v>60</v>
      </c>
      <c r="L52">
        <v>1346</v>
      </c>
      <c r="N52">
        <v>1009</v>
      </c>
      <c r="O52" t="s">
        <v>61</v>
      </c>
      <c r="P52" t="s">
        <v>61</v>
      </c>
      <c r="Q52">
        <v>1</v>
      </c>
      <c r="W52">
        <v>1</v>
      </c>
      <c r="X52">
        <v>904967830</v>
      </c>
      <c r="Y52">
        <f t="shared" si="11"/>
        <v>-0.5</v>
      </c>
      <c r="AA52">
        <v>799.53</v>
      </c>
      <c r="AB52">
        <v>0</v>
      </c>
      <c r="AC52">
        <v>0</v>
      </c>
      <c r="AD52">
        <v>0</v>
      </c>
      <c r="AE52">
        <v>71.45</v>
      </c>
      <c r="AF52">
        <v>0</v>
      </c>
      <c r="AG52">
        <v>0</v>
      </c>
      <c r="AH52">
        <v>0</v>
      </c>
      <c r="AI52">
        <v>11.19</v>
      </c>
      <c r="AJ52">
        <v>1</v>
      </c>
      <c r="AK52">
        <v>1</v>
      </c>
      <c r="AL52">
        <v>1</v>
      </c>
      <c r="AM52">
        <v>2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3</v>
      </c>
      <c r="AT52">
        <v>-0.5</v>
      </c>
      <c r="AU52" t="s">
        <v>3</v>
      </c>
      <c r="AV52">
        <v>0</v>
      </c>
      <c r="AW52">
        <v>2</v>
      </c>
      <c r="AX52">
        <v>92408505</v>
      </c>
      <c r="AY52">
        <v>1</v>
      </c>
      <c r="AZ52">
        <v>6144</v>
      </c>
      <c r="BA52">
        <v>52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V52">
        <v>0</v>
      </c>
      <c r="CW52">
        <v>0</v>
      </c>
      <c r="CX52">
        <f>ROUND(Y52*Source!I35,9)</f>
        <v>-0.4</v>
      </c>
      <c r="CY52">
        <f>AA52</f>
        <v>799.53</v>
      </c>
      <c r="CZ52">
        <f>AE52</f>
        <v>71.45</v>
      </c>
      <c r="DA52">
        <f>AI52</f>
        <v>11.19</v>
      </c>
      <c r="DB52">
        <f t="shared" si="12"/>
        <v>-35.729999999999997</v>
      </c>
      <c r="DC52">
        <f t="shared" si="13"/>
        <v>0</v>
      </c>
      <c r="DD52" t="s">
        <v>3</v>
      </c>
      <c r="DE52" t="s">
        <v>3</v>
      </c>
      <c r="DF52">
        <f>ROUND(ROUND(AE52*AI52,2)*CX52,2)</f>
        <v>-319.81</v>
      </c>
      <c r="DG52">
        <f t="shared" si="18"/>
        <v>0</v>
      </c>
      <c r="DH52">
        <f t="shared" si="19"/>
        <v>0</v>
      </c>
      <c r="DI52">
        <f t="shared" si="14"/>
        <v>0</v>
      </c>
      <c r="DJ52">
        <f>DF52</f>
        <v>-319.81</v>
      </c>
      <c r="DK52">
        <v>0</v>
      </c>
      <c r="DL52" t="s">
        <v>3</v>
      </c>
      <c r="DM52">
        <v>0</v>
      </c>
      <c r="DN52" t="s">
        <v>3</v>
      </c>
      <c r="DO52">
        <v>0</v>
      </c>
    </row>
    <row r="53" spans="1:119" x14ac:dyDescent="0.2">
      <c r="A53">
        <f>ROW(Source!A35)</f>
        <v>35</v>
      </c>
      <c r="B53">
        <v>92408302</v>
      </c>
      <c r="C53">
        <v>92408486</v>
      </c>
      <c r="D53">
        <v>37801918</v>
      </c>
      <c r="E53">
        <v>1</v>
      </c>
      <c r="F53">
        <v>1</v>
      </c>
      <c r="G53">
        <v>1</v>
      </c>
      <c r="H53">
        <v>3</v>
      </c>
      <c r="I53" t="s">
        <v>100</v>
      </c>
      <c r="J53" t="s">
        <v>103</v>
      </c>
      <c r="K53" t="s">
        <v>101</v>
      </c>
      <c r="L53">
        <v>1374</v>
      </c>
      <c r="N53">
        <v>1013</v>
      </c>
      <c r="O53" t="s">
        <v>102</v>
      </c>
      <c r="P53" t="s">
        <v>102</v>
      </c>
      <c r="Q53">
        <v>1</v>
      </c>
      <c r="W53">
        <v>0</v>
      </c>
      <c r="X53">
        <v>2131831278</v>
      </c>
      <c r="Y53">
        <f t="shared" si="11"/>
        <v>1.84</v>
      </c>
      <c r="AA53">
        <v>1</v>
      </c>
      <c r="AB53">
        <v>0</v>
      </c>
      <c r="AC53">
        <v>0</v>
      </c>
      <c r="AD53">
        <v>0</v>
      </c>
      <c r="AE53">
        <v>1</v>
      </c>
      <c r="AF53">
        <v>0</v>
      </c>
      <c r="AG53">
        <v>0</v>
      </c>
      <c r="AH53">
        <v>0</v>
      </c>
      <c r="AI53">
        <v>1</v>
      </c>
      <c r="AJ53">
        <v>1</v>
      </c>
      <c r="AK53">
        <v>1</v>
      </c>
      <c r="AL53">
        <v>1</v>
      </c>
      <c r="AM53">
        <v>-2</v>
      </c>
      <c r="AN53">
        <v>0</v>
      </c>
      <c r="AO53">
        <v>1</v>
      </c>
      <c r="AP53">
        <v>0</v>
      </c>
      <c r="AQ53">
        <v>0</v>
      </c>
      <c r="AR53">
        <v>0</v>
      </c>
      <c r="AS53" t="s">
        <v>3</v>
      </c>
      <c r="AT53">
        <v>1.84</v>
      </c>
      <c r="AU53" t="s">
        <v>3</v>
      </c>
      <c r="AV53">
        <v>0</v>
      </c>
      <c r="AW53">
        <v>2</v>
      </c>
      <c r="AX53">
        <v>92408506</v>
      </c>
      <c r="AY53">
        <v>1</v>
      </c>
      <c r="AZ53">
        <v>0</v>
      </c>
      <c r="BA53">
        <v>53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V53">
        <v>0</v>
      </c>
      <c r="CW53">
        <v>0</v>
      </c>
      <c r="CX53">
        <f>ROUND(Y53*Source!I35,9)</f>
        <v>1.472</v>
      </c>
      <c r="CY53">
        <f>AA53</f>
        <v>1</v>
      </c>
      <c r="CZ53">
        <f>AE53</f>
        <v>1</v>
      </c>
      <c r="DA53">
        <f>AI53</f>
        <v>1</v>
      </c>
      <c r="DB53">
        <f t="shared" si="12"/>
        <v>1.84</v>
      </c>
      <c r="DC53">
        <f t="shared" si="13"/>
        <v>0</v>
      </c>
      <c r="DD53" t="s">
        <v>3</v>
      </c>
      <c r="DE53" t="s">
        <v>3</v>
      </c>
      <c r="DF53">
        <f>ROUND(ROUND(AE53,2)*CX53,2)</f>
        <v>1.47</v>
      </c>
      <c r="DG53">
        <f t="shared" si="18"/>
        <v>0</v>
      </c>
      <c r="DH53">
        <f t="shared" si="19"/>
        <v>0</v>
      </c>
      <c r="DI53">
        <f t="shared" si="14"/>
        <v>0</v>
      </c>
      <c r="DJ53">
        <f>DF53</f>
        <v>1.47</v>
      </c>
      <c r="DK53">
        <v>0</v>
      </c>
      <c r="DL53" t="s">
        <v>3</v>
      </c>
      <c r="DM53">
        <v>0</v>
      </c>
      <c r="DN53" t="s">
        <v>3</v>
      </c>
      <c r="DO53">
        <v>0</v>
      </c>
    </row>
    <row r="54" spans="1:119" x14ac:dyDescent="0.2">
      <c r="A54">
        <f>ROW(Source!A37)</f>
        <v>37</v>
      </c>
      <c r="B54">
        <v>92408302</v>
      </c>
      <c r="C54">
        <v>92408507</v>
      </c>
      <c r="D54">
        <v>23351395</v>
      </c>
      <c r="E54">
        <v>1</v>
      </c>
      <c r="F54">
        <v>1</v>
      </c>
      <c r="G54">
        <v>1</v>
      </c>
      <c r="H54">
        <v>1</v>
      </c>
      <c r="I54" t="s">
        <v>337</v>
      </c>
      <c r="J54" t="s">
        <v>3</v>
      </c>
      <c r="K54" t="s">
        <v>338</v>
      </c>
      <c r="L54">
        <v>1369</v>
      </c>
      <c r="N54">
        <v>1013</v>
      </c>
      <c r="O54" t="s">
        <v>325</v>
      </c>
      <c r="P54" t="s">
        <v>325</v>
      </c>
      <c r="Q54">
        <v>1</v>
      </c>
      <c r="W54">
        <v>0</v>
      </c>
      <c r="X54">
        <v>1072260845</v>
      </c>
      <c r="Y54">
        <f t="shared" si="11"/>
        <v>0.38</v>
      </c>
      <c r="AA54">
        <v>0</v>
      </c>
      <c r="AB54">
        <v>0</v>
      </c>
      <c r="AC54">
        <v>0</v>
      </c>
      <c r="AD54">
        <v>8.99</v>
      </c>
      <c r="AE54">
        <v>0</v>
      </c>
      <c r="AF54">
        <v>0</v>
      </c>
      <c r="AG54">
        <v>0</v>
      </c>
      <c r="AH54">
        <v>8.99</v>
      </c>
      <c r="AI54">
        <v>1</v>
      </c>
      <c r="AJ54">
        <v>1</v>
      </c>
      <c r="AK54">
        <v>1</v>
      </c>
      <c r="AL54">
        <v>1</v>
      </c>
      <c r="AM54">
        <v>-2</v>
      </c>
      <c r="AN54">
        <v>0</v>
      </c>
      <c r="AO54">
        <v>1</v>
      </c>
      <c r="AP54">
        <v>1</v>
      </c>
      <c r="AQ54">
        <v>0</v>
      </c>
      <c r="AR54">
        <v>0</v>
      </c>
      <c r="AS54" t="s">
        <v>3</v>
      </c>
      <c r="AT54">
        <v>0.38</v>
      </c>
      <c r="AU54" t="s">
        <v>3</v>
      </c>
      <c r="AV54">
        <v>1</v>
      </c>
      <c r="AW54">
        <v>2</v>
      </c>
      <c r="AX54">
        <v>92408513</v>
      </c>
      <c r="AY54">
        <v>1</v>
      </c>
      <c r="AZ54">
        <v>0</v>
      </c>
      <c r="BA54">
        <v>54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U54">
        <f>ROUND(AT54*Source!I37*AH54*AL54,2)</f>
        <v>27.33</v>
      </c>
      <c r="CV54">
        <f>ROUND(Y54*Source!I37,9)</f>
        <v>3.04</v>
      </c>
      <c r="CW54">
        <v>0</v>
      </c>
      <c r="CX54">
        <f>ROUND(Y54*Source!I37,9)</f>
        <v>3.04</v>
      </c>
      <c r="CY54">
        <f>AD54</f>
        <v>8.99</v>
      </c>
      <c r="CZ54">
        <f>AH54</f>
        <v>8.99</v>
      </c>
      <c r="DA54">
        <f>AL54</f>
        <v>1</v>
      </c>
      <c r="DB54">
        <f t="shared" si="12"/>
        <v>3.42</v>
      </c>
      <c r="DC54">
        <f t="shared" si="13"/>
        <v>0</v>
      </c>
      <c r="DD54" t="s">
        <v>3</v>
      </c>
      <c r="DE54" t="s">
        <v>3</v>
      </c>
      <c r="DF54">
        <f>ROUND(ROUND(AE54,2)*CX54,2)</f>
        <v>0</v>
      </c>
      <c r="DG54">
        <f t="shared" si="18"/>
        <v>0</v>
      </c>
      <c r="DH54">
        <f t="shared" si="19"/>
        <v>0</v>
      </c>
      <c r="DI54">
        <f t="shared" si="14"/>
        <v>27.33</v>
      </c>
      <c r="DJ54">
        <f>DI54</f>
        <v>27.33</v>
      </c>
      <c r="DK54">
        <v>0</v>
      </c>
      <c r="DL54" t="s">
        <v>3</v>
      </c>
      <c r="DM54">
        <v>0</v>
      </c>
      <c r="DN54" t="s">
        <v>3</v>
      </c>
      <c r="DO54">
        <v>0</v>
      </c>
    </row>
    <row r="55" spans="1:119" x14ac:dyDescent="0.2">
      <c r="A55">
        <f>ROW(Source!A37)</f>
        <v>37</v>
      </c>
      <c r="B55">
        <v>92408302</v>
      </c>
      <c r="C55">
        <v>92408507</v>
      </c>
      <c r="D55">
        <v>37730097</v>
      </c>
      <c r="E55">
        <v>1</v>
      </c>
      <c r="F55">
        <v>1</v>
      </c>
      <c r="G55">
        <v>1</v>
      </c>
      <c r="H55">
        <v>3</v>
      </c>
      <c r="I55" t="s">
        <v>87</v>
      </c>
      <c r="J55" t="s">
        <v>89</v>
      </c>
      <c r="K55" t="s">
        <v>88</v>
      </c>
      <c r="L55">
        <v>1346</v>
      </c>
      <c r="N55">
        <v>1009</v>
      </c>
      <c r="O55" t="s">
        <v>61</v>
      </c>
      <c r="P55" t="s">
        <v>61</v>
      </c>
      <c r="Q55">
        <v>1</v>
      </c>
      <c r="W55">
        <v>1</v>
      </c>
      <c r="X55">
        <v>-1877976580</v>
      </c>
      <c r="Y55">
        <f t="shared" si="11"/>
        <v>-0.15</v>
      </c>
      <c r="AA55">
        <v>93.2</v>
      </c>
      <c r="AB55">
        <v>0</v>
      </c>
      <c r="AC55">
        <v>0</v>
      </c>
      <c r="AD55">
        <v>0</v>
      </c>
      <c r="AE55">
        <v>9.0399999999999991</v>
      </c>
      <c r="AF55">
        <v>0</v>
      </c>
      <c r="AG55">
        <v>0</v>
      </c>
      <c r="AH55">
        <v>0</v>
      </c>
      <c r="AI55">
        <v>10.31</v>
      </c>
      <c r="AJ55">
        <v>1</v>
      </c>
      <c r="AK55">
        <v>1</v>
      </c>
      <c r="AL55">
        <v>1</v>
      </c>
      <c r="AM55">
        <v>2</v>
      </c>
      <c r="AN55">
        <v>0</v>
      </c>
      <c r="AO55">
        <v>1</v>
      </c>
      <c r="AP55">
        <v>1</v>
      </c>
      <c r="AQ55">
        <v>0</v>
      </c>
      <c r="AR55">
        <v>0</v>
      </c>
      <c r="AS55" t="s">
        <v>3</v>
      </c>
      <c r="AT55">
        <v>-0.15</v>
      </c>
      <c r="AU55" t="s">
        <v>3</v>
      </c>
      <c r="AV55">
        <v>0</v>
      </c>
      <c r="AW55">
        <v>2</v>
      </c>
      <c r="AX55">
        <v>92408514</v>
      </c>
      <c r="AY55">
        <v>1</v>
      </c>
      <c r="AZ55">
        <v>6144</v>
      </c>
      <c r="BA55">
        <v>55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V55">
        <v>0</v>
      </c>
      <c r="CW55">
        <v>0</v>
      </c>
      <c r="CX55">
        <f>ROUND(Y55*Source!I37,9)</f>
        <v>-1.2</v>
      </c>
      <c r="CY55">
        <f>AA55</f>
        <v>93.2</v>
      </c>
      <c r="CZ55">
        <f>AE55</f>
        <v>9.0399999999999991</v>
      </c>
      <c r="DA55">
        <f>AI55</f>
        <v>10.31</v>
      </c>
      <c r="DB55">
        <f t="shared" si="12"/>
        <v>-1.36</v>
      </c>
      <c r="DC55">
        <f t="shared" si="13"/>
        <v>0</v>
      </c>
      <c r="DD55" t="s">
        <v>3</v>
      </c>
      <c r="DE55" t="s">
        <v>3</v>
      </c>
      <c r="DF55">
        <f>ROUND(ROUND(AE55*AI55,2)*CX55,2)</f>
        <v>-111.84</v>
      </c>
      <c r="DG55">
        <f t="shared" si="18"/>
        <v>0</v>
      </c>
      <c r="DH55">
        <f t="shared" si="19"/>
        <v>0</v>
      </c>
      <c r="DI55">
        <f t="shared" si="14"/>
        <v>0</v>
      </c>
      <c r="DJ55">
        <f>DF55</f>
        <v>-111.84</v>
      </c>
      <c r="DK55">
        <v>0</v>
      </c>
      <c r="DL55" t="s">
        <v>3</v>
      </c>
      <c r="DM55">
        <v>0</v>
      </c>
      <c r="DN55" t="s">
        <v>3</v>
      </c>
      <c r="DO55">
        <v>0</v>
      </c>
    </row>
    <row r="56" spans="1:119" x14ac:dyDescent="0.2">
      <c r="A56">
        <f>ROW(Source!A37)</f>
        <v>37</v>
      </c>
      <c r="B56">
        <v>92408302</v>
      </c>
      <c r="C56">
        <v>92408507</v>
      </c>
      <c r="D56">
        <v>37801662</v>
      </c>
      <c r="E56">
        <v>1</v>
      </c>
      <c r="F56">
        <v>1</v>
      </c>
      <c r="G56">
        <v>1</v>
      </c>
      <c r="H56">
        <v>3</v>
      </c>
      <c r="I56" t="s">
        <v>91</v>
      </c>
      <c r="J56" t="s">
        <v>93</v>
      </c>
      <c r="K56" t="s">
        <v>92</v>
      </c>
      <c r="L56">
        <v>1346</v>
      </c>
      <c r="N56">
        <v>1009</v>
      </c>
      <c r="O56" t="s">
        <v>61</v>
      </c>
      <c r="P56" t="s">
        <v>61</v>
      </c>
      <c r="Q56">
        <v>1</v>
      </c>
      <c r="W56">
        <v>1</v>
      </c>
      <c r="X56">
        <v>-1685396289</v>
      </c>
      <c r="Y56">
        <f t="shared" si="11"/>
        <v>-0.72</v>
      </c>
      <c r="AA56">
        <v>100.62</v>
      </c>
      <c r="AB56">
        <v>0</v>
      </c>
      <c r="AC56">
        <v>0</v>
      </c>
      <c r="AD56">
        <v>0</v>
      </c>
      <c r="AE56">
        <v>16.940000000000001</v>
      </c>
      <c r="AF56">
        <v>0</v>
      </c>
      <c r="AG56">
        <v>0</v>
      </c>
      <c r="AH56">
        <v>0</v>
      </c>
      <c r="AI56">
        <v>5.94</v>
      </c>
      <c r="AJ56">
        <v>1</v>
      </c>
      <c r="AK56">
        <v>1</v>
      </c>
      <c r="AL56">
        <v>1</v>
      </c>
      <c r="AM56">
        <v>2</v>
      </c>
      <c r="AN56">
        <v>0</v>
      </c>
      <c r="AO56">
        <v>1</v>
      </c>
      <c r="AP56">
        <v>1</v>
      </c>
      <c r="AQ56">
        <v>0</v>
      </c>
      <c r="AR56">
        <v>0</v>
      </c>
      <c r="AS56" t="s">
        <v>3</v>
      </c>
      <c r="AT56">
        <v>-0.72</v>
      </c>
      <c r="AU56" t="s">
        <v>3</v>
      </c>
      <c r="AV56">
        <v>0</v>
      </c>
      <c r="AW56">
        <v>2</v>
      </c>
      <c r="AX56">
        <v>92408515</v>
      </c>
      <c r="AY56">
        <v>1</v>
      </c>
      <c r="AZ56">
        <v>6144</v>
      </c>
      <c r="BA56">
        <v>56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V56">
        <v>0</v>
      </c>
      <c r="CW56">
        <v>0</v>
      </c>
      <c r="CX56">
        <f>ROUND(Y56*Source!I37,9)</f>
        <v>-5.76</v>
      </c>
      <c r="CY56">
        <f>AA56</f>
        <v>100.62</v>
      </c>
      <c r="CZ56">
        <f>AE56</f>
        <v>16.940000000000001</v>
      </c>
      <c r="DA56">
        <f>AI56</f>
        <v>5.94</v>
      </c>
      <c r="DB56">
        <f t="shared" si="12"/>
        <v>-12.2</v>
      </c>
      <c r="DC56">
        <f t="shared" si="13"/>
        <v>0</v>
      </c>
      <c r="DD56" t="s">
        <v>3</v>
      </c>
      <c r="DE56" t="s">
        <v>3</v>
      </c>
      <c r="DF56">
        <f>ROUND(ROUND(AE56*AI56,2)*CX56,2)</f>
        <v>-579.57000000000005</v>
      </c>
      <c r="DG56">
        <f t="shared" si="18"/>
        <v>0</v>
      </c>
      <c r="DH56">
        <f t="shared" si="19"/>
        <v>0</v>
      </c>
      <c r="DI56">
        <f t="shared" si="14"/>
        <v>0</v>
      </c>
      <c r="DJ56">
        <f>DF56</f>
        <v>-579.57000000000005</v>
      </c>
      <c r="DK56">
        <v>0</v>
      </c>
      <c r="DL56" t="s">
        <v>3</v>
      </c>
      <c r="DM56">
        <v>0</v>
      </c>
      <c r="DN56" t="s">
        <v>3</v>
      </c>
      <c r="DO56">
        <v>0</v>
      </c>
    </row>
    <row r="57" spans="1:119" x14ac:dyDescent="0.2">
      <c r="A57">
        <f>ROW(Source!A37)</f>
        <v>37</v>
      </c>
      <c r="B57">
        <v>92408302</v>
      </c>
      <c r="C57">
        <v>92408507</v>
      </c>
      <c r="D57">
        <v>37801788</v>
      </c>
      <c r="E57">
        <v>1</v>
      </c>
      <c r="F57">
        <v>1</v>
      </c>
      <c r="G57">
        <v>1</v>
      </c>
      <c r="H57">
        <v>3</v>
      </c>
      <c r="I57" t="s">
        <v>95</v>
      </c>
      <c r="J57" t="s">
        <v>98</v>
      </c>
      <c r="K57" t="s">
        <v>96</v>
      </c>
      <c r="L57">
        <v>1348</v>
      </c>
      <c r="N57">
        <v>1009</v>
      </c>
      <c r="O57" t="s">
        <v>97</v>
      </c>
      <c r="P57" t="s">
        <v>97</v>
      </c>
      <c r="Q57">
        <v>1000</v>
      </c>
      <c r="W57">
        <v>1</v>
      </c>
      <c r="X57">
        <v>1829992141</v>
      </c>
      <c r="Y57">
        <f t="shared" si="11"/>
        <v>-6.0000000000000002E-5</v>
      </c>
      <c r="AA57">
        <v>428641.1</v>
      </c>
      <c r="AB57">
        <v>0</v>
      </c>
      <c r="AC57">
        <v>0</v>
      </c>
      <c r="AD57">
        <v>0</v>
      </c>
      <c r="AE57">
        <v>27354.25</v>
      </c>
      <c r="AF57">
        <v>0</v>
      </c>
      <c r="AG57">
        <v>0</v>
      </c>
      <c r="AH57">
        <v>0</v>
      </c>
      <c r="AI57">
        <v>15.67</v>
      </c>
      <c r="AJ57">
        <v>1</v>
      </c>
      <c r="AK57">
        <v>1</v>
      </c>
      <c r="AL57">
        <v>1</v>
      </c>
      <c r="AM57">
        <v>2</v>
      </c>
      <c r="AN57">
        <v>0</v>
      </c>
      <c r="AO57">
        <v>1</v>
      </c>
      <c r="AP57">
        <v>1</v>
      </c>
      <c r="AQ57">
        <v>0</v>
      </c>
      <c r="AR57">
        <v>0</v>
      </c>
      <c r="AS57" t="s">
        <v>3</v>
      </c>
      <c r="AT57">
        <v>-6.0000000000000002E-5</v>
      </c>
      <c r="AU57" t="s">
        <v>3</v>
      </c>
      <c r="AV57">
        <v>0</v>
      </c>
      <c r="AW57">
        <v>2</v>
      </c>
      <c r="AX57">
        <v>92408516</v>
      </c>
      <c r="AY57">
        <v>1</v>
      </c>
      <c r="AZ57">
        <v>6144</v>
      </c>
      <c r="BA57">
        <v>57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V57">
        <v>0</v>
      </c>
      <c r="CW57">
        <v>0</v>
      </c>
      <c r="CX57">
        <f>ROUND(Y57*Source!I37,9)</f>
        <v>-4.8000000000000001E-4</v>
      </c>
      <c r="CY57">
        <f>AA57</f>
        <v>428641.1</v>
      </c>
      <c r="CZ57">
        <f>AE57</f>
        <v>27354.25</v>
      </c>
      <c r="DA57">
        <f>AI57</f>
        <v>15.67</v>
      </c>
      <c r="DB57">
        <f t="shared" si="12"/>
        <v>-1.64</v>
      </c>
      <c r="DC57">
        <f t="shared" si="13"/>
        <v>0</v>
      </c>
      <c r="DD57" t="s">
        <v>3</v>
      </c>
      <c r="DE57" t="s">
        <v>3</v>
      </c>
      <c r="DF57">
        <f>ROUND(ROUND(AE57*AI57,2)*CX57,2)</f>
        <v>-205.75</v>
      </c>
      <c r="DG57">
        <f t="shared" si="18"/>
        <v>0</v>
      </c>
      <c r="DH57">
        <f t="shared" si="19"/>
        <v>0</v>
      </c>
      <c r="DI57">
        <f t="shared" si="14"/>
        <v>0</v>
      </c>
      <c r="DJ57">
        <f>DF57</f>
        <v>-205.75</v>
      </c>
      <c r="DK57">
        <v>0</v>
      </c>
      <c r="DL57" t="s">
        <v>3</v>
      </c>
      <c r="DM57">
        <v>0</v>
      </c>
      <c r="DN57" t="s">
        <v>3</v>
      </c>
      <c r="DO57">
        <v>0</v>
      </c>
    </row>
    <row r="58" spans="1:119" x14ac:dyDescent="0.2">
      <c r="A58">
        <f>ROW(Source!A37)</f>
        <v>37</v>
      </c>
      <c r="B58">
        <v>92408302</v>
      </c>
      <c r="C58">
        <v>92408507</v>
      </c>
      <c r="D58">
        <v>37801918</v>
      </c>
      <c r="E58">
        <v>1</v>
      </c>
      <c r="F58">
        <v>1</v>
      </c>
      <c r="G58">
        <v>1</v>
      </c>
      <c r="H58">
        <v>3</v>
      </c>
      <c r="I58" t="s">
        <v>100</v>
      </c>
      <c r="J58" t="s">
        <v>103</v>
      </c>
      <c r="K58" t="s">
        <v>101</v>
      </c>
      <c r="L58">
        <v>1374</v>
      </c>
      <c r="N58">
        <v>1013</v>
      </c>
      <c r="O58" t="s">
        <v>102</v>
      </c>
      <c r="P58" t="s">
        <v>102</v>
      </c>
      <c r="Q58">
        <v>1</v>
      </c>
      <c r="W58">
        <v>1</v>
      </c>
      <c r="X58">
        <v>2131831278</v>
      </c>
      <c r="Y58">
        <f t="shared" si="11"/>
        <v>-7.0000000000000007E-2</v>
      </c>
      <c r="AA58">
        <v>1</v>
      </c>
      <c r="AB58">
        <v>0</v>
      </c>
      <c r="AC58">
        <v>0</v>
      </c>
      <c r="AD58">
        <v>0</v>
      </c>
      <c r="AE58">
        <v>1</v>
      </c>
      <c r="AF58">
        <v>0</v>
      </c>
      <c r="AG58">
        <v>0</v>
      </c>
      <c r="AH58">
        <v>0</v>
      </c>
      <c r="AI58">
        <v>1</v>
      </c>
      <c r="AJ58">
        <v>1</v>
      </c>
      <c r="AK58">
        <v>1</v>
      </c>
      <c r="AL58">
        <v>1</v>
      </c>
      <c r="AM58">
        <v>-2</v>
      </c>
      <c r="AN58">
        <v>0</v>
      </c>
      <c r="AO58">
        <v>1</v>
      </c>
      <c r="AP58">
        <v>1</v>
      </c>
      <c r="AQ58">
        <v>0</v>
      </c>
      <c r="AR58">
        <v>0</v>
      </c>
      <c r="AS58" t="s">
        <v>3</v>
      </c>
      <c r="AT58">
        <v>-7.0000000000000007E-2</v>
      </c>
      <c r="AU58" t="s">
        <v>3</v>
      </c>
      <c r="AV58">
        <v>0</v>
      </c>
      <c r="AW58">
        <v>2</v>
      </c>
      <c r="AX58">
        <v>92408517</v>
      </c>
      <c r="AY58">
        <v>1</v>
      </c>
      <c r="AZ58">
        <v>6144</v>
      </c>
      <c r="BA58">
        <v>58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V58">
        <v>0</v>
      </c>
      <c r="CW58">
        <v>0</v>
      </c>
      <c r="CX58">
        <f>ROUND(Y58*Source!I37,9)</f>
        <v>-0.56000000000000005</v>
      </c>
      <c r="CY58">
        <f>AA58</f>
        <v>1</v>
      </c>
      <c r="CZ58">
        <f>AE58</f>
        <v>1</v>
      </c>
      <c r="DA58">
        <f>AI58</f>
        <v>1</v>
      </c>
      <c r="DB58">
        <f t="shared" si="12"/>
        <v>-7.0000000000000007E-2</v>
      </c>
      <c r="DC58">
        <f t="shared" si="13"/>
        <v>0</v>
      </c>
      <c r="DD58" t="s">
        <v>3</v>
      </c>
      <c r="DE58" t="s">
        <v>3</v>
      </c>
      <c r="DF58">
        <f>ROUND(ROUND(AE58,2)*CX58,2)</f>
        <v>-0.56000000000000005</v>
      </c>
      <c r="DG58">
        <f t="shared" si="18"/>
        <v>0</v>
      </c>
      <c r="DH58">
        <f t="shared" si="19"/>
        <v>0</v>
      </c>
      <c r="DI58">
        <f t="shared" si="14"/>
        <v>0</v>
      </c>
      <c r="DJ58">
        <f>DF58</f>
        <v>-0.56000000000000005</v>
      </c>
      <c r="DK58">
        <v>0</v>
      </c>
      <c r="DL58" t="s">
        <v>3</v>
      </c>
      <c r="DM58">
        <v>0</v>
      </c>
      <c r="DN58" t="s">
        <v>3</v>
      </c>
      <c r="DO58">
        <v>0</v>
      </c>
    </row>
    <row r="59" spans="1:119" x14ac:dyDescent="0.2">
      <c r="A59">
        <f>ROW(Source!A42)</f>
        <v>42</v>
      </c>
      <c r="B59">
        <v>92408302</v>
      </c>
      <c r="C59">
        <v>92408594</v>
      </c>
      <c r="D59">
        <v>23351395</v>
      </c>
      <c r="E59">
        <v>1</v>
      </c>
      <c r="F59">
        <v>1</v>
      </c>
      <c r="G59">
        <v>1</v>
      </c>
      <c r="H59">
        <v>1</v>
      </c>
      <c r="I59" t="s">
        <v>337</v>
      </c>
      <c r="J59" t="s">
        <v>3</v>
      </c>
      <c r="K59" t="s">
        <v>338</v>
      </c>
      <c r="L59">
        <v>1369</v>
      </c>
      <c r="N59">
        <v>1013</v>
      </c>
      <c r="O59" t="s">
        <v>325</v>
      </c>
      <c r="P59" t="s">
        <v>325</v>
      </c>
      <c r="Q59">
        <v>1</v>
      </c>
      <c r="W59">
        <v>0</v>
      </c>
      <c r="X59">
        <v>1072260845</v>
      </c>
      <c r="Y59">
        <f t="shared" si="11"/>
        <v>1.34</v>
      </c>
      <c r="AA59">
        <v>0</v>
      </c>
      <c r="AB59">
        <v>0</v>
      </c>
      <c r="AC59">
        <v>0</v>
      </c>
      <c r="AD59">
        <v>8.99</v>
      </c>
      <c r="AE59">
        <v>0</v>
      </c>
      <c r="AF59">
        <v>0</v>
      </c>
      <c r="AG59">
        <v>0</v>
      </c>
      <c r="AH59">
        <v>8.99</v>
      </c>
      <c r="AI59">
        <v>1</v>
      </c>
      <c r="AJ59">
        <v>1</v>
      </c>
      <c r="AK59">
        <v>1</v>
      </c>
      <c r="AL59">
        <v>1</v>
      </c>
      <c r="AM59">
        <v>-2</v>
      </c>
      <c r="AN59">
        <v>0</v>
      </c>
      <c r="AO59">
        <v>1</v>
      </c>
      <c r="AP59">
        <v>0</v>
      </c>
      <c r="AQ59">
        <v>0</v>
      </c>
      <c r="AR59">
        <v>0</v>
      </c>
      <c r="AS59" t="s">
        <v>3</v>
      </c>
      <c r="AT59">
        <v>1.34</v>
      </c>
      <c r="AU59" t="s">
        <v>3</v>
      </c>
      <c r="AV59">
        <v>1</v>
      </c>
      <c r="AW59">
        <v>2</v>
      </c>
      <c r="AX59">
        <v>92408604</v>
      </c>
      <c r="AY59">
        <v>1</v>
      </c>
      <c r="AZ59">
        <v>0</v>
      </c>
      <c r="BA59">
        <v>59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U59">
        <f>ROUND(AT59*Source!I42*AH59*AL59,2)</f>
        <v>48.19</v>
      </c>
      <c r="CV59">
        <f>ROUND(Y59*Source!I42,9)</f>
        <v>5.36</v>
      </c>
      <c r="CW59">
        <v>0</v>
      </c>
      <c r="CX59">
        <f>ROUND(Y59*Source!I42,9)</f>
        <v>5.36</v>
      </c>
      <c r="CY59">
        <f>AD59</f>
        <v>8.99</v>
      </c>
      <c r="CZ59">
        <f>AH59</f>
        <v>8.99</v>
      </c>
      <c r="DA59">
        <f>AL59</f>
        <v>1</v>
      </c>
      <c r="DB59">
        <f t="shared" si="12"/>
        <v>12.05</v>
      </c>
      <c r="DC59">
        <f t="shared" si="13"/>
        <v>0</v>
      </c>
      <c r="DD59" t="s">
        <v>3</v>
      </c>
      <c r="DE59" t="s">
        <v>3</v>
      </c>
      <c r="DF59">
        <f>ROUND(ROUND(AE59,2)*CX59,2)</f>
        <v>0</v>
      </c>
      <c r="DG59">
        <f t="shared" si="18"/>
        <v>0</v>
      </c>
      <c r="DH59">
        <f t="shared" si="19"/>
        <v>0</v>
      </c>
      <c r="DI59">
        <f t="shared" si="14"/>
        <v>48.19</v>
      </c>
      <c r="DJ59">
        <f>DI59</f>
        <v>48.19</v>
      </c>
      <c r="DK59">
        <v>0</v>
      </c>
      <c r="DL59" t="s">
        <v>3</v>
      </c>
      <c r="DM59">
        <v>0</v>
      </c>
      <c r="DN59" t="s">
        <v>3</v>
      </c>
      <c r="DO59">
        <v>0</v>
      </c>
    </row>
    <row r="60" spans="1:119" x14ac:dyDescent="0.2">
      <c r="A60">
        <f>ROW(Source!A42)</f>
        <v>42</v>
      </c>
      <c r="B60">
        <v>92408302</v>
      </c>
      <c r="C60">
        <v>92408594</v>
      </c>
      <c r="D60">
        <v>121548</v>
      </c>
      <c r="E60">
        <v>1</v>
      </c>
      <c r="F60">
        <v>1</v>
      </c>
      <c r="G60">
        <v>1</v>
      </c>
      <c r="H60">
        <v>1</v>
      </c>
      <c r="I60" t="s">
        <v>24</v>
      </c>
      <c r="J60" t="s">
        <v>3</v>
      </c>
      <c r="K60" t="s">
        <v>326</v>
      </c>
      <c r="L60">
        <v>608254</v>
      </c>
      <c r="N60">
        <v>1013</v>
      </c>
      <c r="O60" t="s">
        <v>327</v>
      </c>
      <c r="P60" t="s">
        <v>327</v>
      </c>
      <c r="Q60">
        <v>1</v>
      </c>
      <c r="W60">
        <v>0</v>
      </c>
      <c r="X60">
        <v>-185737400</v>
      </c>
      <c r="Y60">
        <f t="shared" si="11"/>
        <v>0.01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1</v>
      </c>
      <c r="AJ60">
        <v>1</v>
      </c>
      <c r="AK60">
        <v>1</v>
      </c>
      <c r="AL60">
        <v>1</v>
      </c>
      <c r="AM60">
        <v>-2</v>
      </c>
      <c r="AN60">
        <v>0</v>
      </c>
      <c r="AO60">
        <v>1</v>
      </c>
      <c r="AP60">
        <v>0</v>
      </c>
      <c r="AQ60">
        <v>0</v>
      </c>
      <c r="AR60">
        <v>0</v>
      </c>
      <c r="AS60" t="s">
        <v>3</v>
      </c>
      <c r="AT60">
        <v>0.01</v>
      </c>
      <c r="AU60" t="s">
        <v>3</v>
      </c>
      <c r="AV60">
        <v>2</v>
      </c>
      <c r="AW60">
        <v>2</v>
      </c>
      <c r="AX60">
        <v>92408605</v>
      </c>
      <c r="AY60">
        <v>1</v>
      </c>
      <c r="AZ60">
        <v>0</v>
      </c>
      <c r="BA60">
        <v>60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V60">
        <v>0</v>
      </c>
      <c r="CW60">
        <v>0</v>
      </c>
      <c r="CX60">
        <f>ROUND(Y60*Source!I42,9)</f>
        <v>0.04</v>
      </c>
      <c r="CY60">
        <f>AD60</f>
        <v>0</v>
      </c>
      <c r="CZ60">
        <f>AH60</f>
        <v>0</v>
      </c>
      <c r="DA60">
        <f>AL60</f>
        <v>1</v>
      </c>
      <c r="DB60">
        <f t="shared" si="12"/>
        <v>0</v>
      </c>
      <c r="DC60">
        <f t="shared" si="13"/>
        <v>0</v>
      </c>
      <c r="DD60" t="s">
        <v>3</v>
      </c>
      <c r="DE60" t="s">
        <v>3</v>
      </c>
      <c r="DF60">
        <f>ROUND(ROUND(AE60,2)*CX60,2)</f>
        <v>0</v>
      </c>
      <c r="DG60">
        <f t="shared" si="18"/>
        <v>0</v>
      </c>
      <c r="DH60">
        <f t="shared" si="19"/>
        <v>0</v>
      </c>
      <c r="DI60">
        <f t="shared" si="14"/>
        <v>0</v>
      </c>
      <c r="DJ60">
        <f>DI60</f>
        <v>0</v>
      </c>
      <c r="DK60">
        <v>0</v>
      </c>
      <c r="DL60" t="s">
        <v>3</v>
      </c>
      <c r="DM60">
        <v>0</v>
      </c>
      <c r="DN60" t="s">
        <v>3</v>
      </c>
      <c r="DO60">
        <v>0</v>
      </c>
    </row>
    <row r="61" spans="1:119" x14ac:dyDescent="0.2">
      <c r="A61">
        <f>ROW(Source!A42)</f>
        <v>42</v>
      </c>
      <c r="B61">
        <v>92408302</v>
      </c>
      <c r="C61">
        <v>92408594</v>
      </c>
      <c r="D61">
        <v>37802432</v>
      </c>
      <c r="E61">
        <v>1</v>
      </c>
      <c r="F61">
        <v>1</v>
      </c>
      <c r="G61">
        <v>1</v>
      </c>
      <c r="H61">
        <v>2</v>
      </c>
      <c r="I61" t="s">
        <v>342</v>
      </c>
      <c r="J61" t="s">
        <v>343</v>
      </c>
      <c r="K61" t="s">
        <v>344</v>
      </c>
      <c r="L61">
        <v>1368</v>
      </c>
      <c r="N61">
        <v>1011</v>
      </c>
      <c r="O61" t="s">
        <v>331</v>
      </c>
      <c r="P61" t="s">
        <v>331</v>
      </c>
      <c r="Q61">
        <v>1</v>
      </c>
      <c r="W61">
        <v>0</v>
      </c>
      <c r="X61">
        <v>-1424728221</v>
      </c>
      <c r="Y61">
        <f t="shared" si="11"/>
        <v>0.01</v>
      </c>
      <c r="AA61">
        <v>0</v>
      </c>
      <c r="AB61">
        <v>1453.28</v>
      </c>
      <c r="AC61">
        <v>400.27</v>
      </c>
      <c r="AD61">
        <v>0</v>
      </c>
      <c r="AE61">
        <v>0</v>
      </c>
      <c r="AF61">
        <v>138.54</v>
      </c>
      <c r="AG61">
        <v>12.1</v>
      </c>
      <c r="AH61">
        <v>0</v>
      </c>
      <c r="AI61">
        <v>1</v>
      </c>
      <c r="AJ61">
        <v>10.49</v>
      </c>
      <c r="AK61">
        <v>33.08</v>
      </c>
      <c r="AL61">
        <v>1</v>
      </c>
      <c r="AM61">
        <v>2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</v>
      </c>
      <c r="AT61">
        <v>0.01</v>
      </c>
      <c r="AU61" t="s">
        <v>3</v>
      </c>
      <c r="AV61">
        <v>0</v>
      </c>
      <c r="AW61">
        <v>2</v>
      </c>
      <c r="AX61">
        <v>92408606</v>
      </c>
      <c r="AY61">
        <v>1</v>
      </c>
      <c r="AZ61">
        <v>0</v>
      </c>
      <c r="BA61">
        <v>61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V61">
        <v>0</v>
      </c>
      <c r="CW61">
        <f>ROUND(Y61*Source!I42,9)</f>
        <v>0.04</v>
      </c>
      <c r="CX61">
        <f>ROUND(Y61*Source!I42,9)</f>
        <v>0.04</v>
      </c>
      <c r="CY61">
        <f>AB61</f>
        <v>1453.28</v>
      </c>
      <c r="CZ61">
        <f>AF61</f>
        <v>138.54</v>
      </c>
      <c r="DA61">
        <f>AJ61</f>
        <v>10.49</v>
      </c>
      <c r="DB61">
        <f t="shared" si="12"/>
        <v>1.39</v>
      </c>
      <c r="DC61">
        <f t="shared" si="13"/>
        <v>0.12</v>
      </c>
      <c r="DD61" t="s">
        <v>3</v>
      </c>
      <c r="DE61" t="s">
        <v>3</v>
      </c>
      <c r="DF61">
        <f>ROUND(ROUND(AE61,2)*CX61,2)</f>
        <v>0</v>
      </c>
      <c r="DG61">
        <f>ROUND(ROUND(AF61*AJ61,2)*CX61,2)</f>
        <v>58.13</v>
      </c>
      <c r="DH61">
        <f>ROUND(ROUND(AG61*AK61,2)*CX61,2)</f>
        <v>16.010000000000002</v>
      </c>
      <c r="DI61">
        <f t="shared" si="14"/>
        <v>0</v>
      </c>
      <c r="DJ61">
        <f>DG61</f>
        <v>58.13</v>
      </c>
      <c r="DK61">
        <v>0</v>
      </c>
      <c r="DL61" t="s">
        <v>3</v>
      </c>
      <c r="DM61">
        <v>0</v>
      </c>
      <c r="DN61" t="s">
        <v>3</v>
      </c>
      <c r="DO61">
        <v>0</v>
      </c>
    </row>
    <row r="62" spans="1:119" x14ac:dyDescent="0.2">
      <c r="A62">
        <f>ROW(Source!A42)</f>
        <v>42</v>
      </c>
      <c r="B62">
        <v>92408302</v>
      </c>
      <c r="C62">
        <v>92408594</v>
      </c>
      <c r="D62">
        <v>37804456</v>
      </c>
      <c r="E62">
        <v>1</v>
      </c>
      <c r="F62">
        <v>1</v>
      </c>
      <c r="G62">
        <v>1</v>
      </c>
      <c r="H62">
        <v>2</v>
      </c>
      <c r="I62" t="s">
        <v>339</v>
      </c>
      <c r="J62" t="s">
        <v>340</v>
      </c>
      <c r="K62" t="s">
        <v>341</v>
      </c>
      <c r="L62">
        <v>1368</v>
      </c>
      <c r="N62">
        <v>1011</v>
      </c>
      <c r="O62" t="s">
        <v>331</v>
      </c>
      <c r="P62" t="s">
        <v>331</v>
      </c>
      <c r="Q62">
        <v>1</v>
      </c>
      <c r="W62">
        <v>0</v>
      </c>
      <c r="X62">
        <v>-671646184</v>
      </c>
      <c r="Y62">
        <f t="shared" si="11"/>
        <v>0.01</v>
      </c>
      <c r="AA62">
        <v>0</v>
      </c>
      <c r="AB62">
        <v>1289.23</v>
      </c>
      <c r="AC62">
        <v>342.38</v>
      </c>
      <c r="AD62">
        <v>0</v>
      </c>
      <c r="AE62">
        <v>0</v>
      </c>
      <c r="AF62">
        <v>91.76</v>
      </c>
      <c r="AG62">
        <v>10.35</v>
      </c>
      <c r="AH62">
        <v>0</v>
      </c>
      <c r="AI62">
        <v>1</v>
      </c>
      <c r="AJ62">
        <v>14.05</v>
      </c>
      <c r="AK62">
        <v>33.08</v>
      </c>
      <c r="AL62">
        <v>1</v>
      </c>
      <c r="AM62">
        <v>2</v>
      </c>
      <c r="AN62">
        <v>0</v>
      </c>
      <c r="AO62">
        <v>1</v>
      </c>
      <c r="AP62">
        <v>0</v>
      </c>
      <c r="AQ62">
        <v>0</v>
      </c>
      <c r="AR62">
        <v>0</v>
      </c>
      <c r="AS62" t="s">
        <v>3</v>
      </c>
      <c r="AT62">
        <v>0.01</v>
      </c>
      <c r="AU62" t="s">
        <v>3</v>
      </c>
      <c r="AV62">
        <v>0</v>
      </c>
      <c r="AW62">
        <v>2</v>
      </c>
      <c r="AX62">
        <v>92408607</v>
      </c>
      <c r="AY62">
        <v>1</v>
      </c>
      <c r="AZ62">
        <v>0</v>
      </c>
      <c r="BA62">
        <v>62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V62">
        <v>0</v>
      </c>
      <c r="CW62">
        <f>ROUND(Y62*Source!I42,9)</f>
        <v>0.04</v>
      </c>
      <c r="CX62">
        <f>ROUND(Y62*Source!I42,9)</f>
        <v>0.04</v>
      </c>
      <c r="CY62">
        <f>AB62</f>
        <v>1289.23</v>
      </c>
      <c r="CZ62">
        <f>AF62</f>
        <v>91.76</v>
      </c>
      <c r="DA62">
        <f>AJ62</f>
        <v>14.05</v>
      </c>
      <c r="DB62">
        <f t="shared" si="12"/>
        <v>0.92</v>
      </c>
      <c r="DC62">
        <f t="shared" si="13"/>
        <v>0.1</v>
      </c>
      <c r="DD62" t="s">
        <v>3</v>
      </c>
      <c r="DE62" t="s">
        <v>3</v>
      </c>
      <c r="DF62">
        <f>ROUND(ROUND(AE62,2)*CX62,2)</f>
        <v>0</v>
      </c>
      <c r="DG62">
        <f>ROUND(ROUND(AF62*AJ62,2)*CX62,2)</f>
        <v>51.57</v>
      </c>
      <c r="DH62">
        <f>ROUND(ROUND(AG62*AK62,2)*CX62,2)</f>
        <v>13.7</v>
      </c>
      <c r="DI62">
        <f t="shared" si="14"/>
        <v>0</v>
      </c>
      <c r="DJ62">
        <f>DG62</f>
        <v>51.57</v>
      </c>
      <c r="DK62">
        <v>0</v>
      </c>
      <c r="DL62" t="s">
        <v>3</v>
      </c>
      <c r="DM62">
        <v>0</v>
      </c>
      <c r="DN62" t="s">
        <v>3</v>
      </c>
      <c r="DO62">
        <v>0</v>
      </c>
    </row>
    <row r="63" spans="1:119" x14ac:dyDescent="0.2">
      <c r="A63">
        <f>ROW(Source!A42)</f>
        <v>42</v>
      </c>
      <c r="B63">
        <v>92408302</v>
      </c>
      <c r="C63">
        <v>92408594</v>
      </c>
      <c r="D63">
        <v>37729625</v>
      </c>
      <c r="E63">
        <v>1</v>
      </c>
      <c r="F63">
        <v>1</v>
      </c>
      <c r="G63">
        <v>1</v>
      </c>
      <c r="H63">
        <v>3</v>
      </c>
      <c r="I63" t="s">
        <v>110</v>
      </c>
      <c r="J63" t="s">
        <v>112</v>
      </c>
      <c r="K63" t="s">
        <v>111</v>
      </c>
      <c r="L63">
        <v>1348</v>
      </c>
      <c r="N63">
        <v>1009</v>
      </c>
      <c r="O63" t="s">
        <v>97</v>
      </c>
      <c r="P63" t="s">
        <v>97</v>
      </c>
      <c r="Q63">
        <v>1000</v>
      </c>
      <c r="W63">
        <v>1</v>
      </c>
      <c r="X63">
        <v>-1057666604</v>
      </c>
      <c r="Y63">
        <f t="shared" si="11"/>
        <v>-8.0000000000000004E-4</v>
      </c>
      <c r="AA63">
        <v>111526.8</v>
      </c>
      <c r="AB63">
        <v>0</v>
      </c>
      <c r="AC63">
        <v>0</v>
      </c>
      <c r="AD63">
        <v>0</v>
      </c>
      <c r="AE63">
        <v>4488</v>
      </c>
      <c r="AF63">
        <v>0</v>
      </c>
      <c r="AG63">
        <v>0</v>
      </c>
      <c r="AH63">
        <v>0</v>
      </c>
      <c r="AI63">
        <v>24.85</v>
      </c>
      <c r="AJ63">
        <v>1</v>
      </c>
      <c r="AK63">
        <v>1</v>
      </c>
      <c r="AL63">
        <v>1</v>
      </c>
      <c r="AM63">
        <v>2</v>
      </c>
      <c r="AN63">
        <v>0</v>
      </c>
      <c r="AO63">
        <v>1</v>
      </c>
      <c r="AP63">
        <v>0</v>
      </c>
      <c r="AQ63">
        <v>0</v>
      </c>
      <c r="AR63">
        <v>0</v>
      </c>
      <c r="AS63" t="s">
        <v>3</v>
      </c>
      <c r="AT63">
        <v>-8.0000000000000004E-4</v>
      </c>
      <c r="AU63" t="s">
        <v>3</v>
      </c>
      <c r="AV63">
        <v>0</v>
      </c>
      <c r="AW63">
        <v>2</v>
      </c>
      <c r="AX63">
        <v>92408608</v>
      </c>
      <c r="AY63">
        <v>1</v>
      </c>
      <c r="AZ63">
        <v>6144</v>
      </c>
      <c r="BA63">
        <v>63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V63">
        <v>0</v>
      </c>
      <c r="CW63">
        <v>0</v>
      </c>
      <c r="CX63">
        <f>ROUND(Y63*Source!I42,9)</f>
        <v>-3.2000000000000002E-3</v>
      </c>
      <c r="CY63">
        <f>AA63</f>
        <v>111526.8</v>
      </c>
      <c r="CZ63">
        <f>AE63</f>
        <v>4488</v>
      </c>
      <c r="DA63">
        <f>AI63</f>
        <v>24.85</v>
      </c>
      <c r="DB63">
        <f t="shared" si="12"/>
        <v>-3.59</v>
      </c>
      <c r="DC63">
        <f t="shared" si="13"/>
        <v>0</v>
      </c>
      <c r="DD63" t="s">
        <v>3</v>
      </c>
      <c r="DE63" t="s">
        <v>3</v>
      </c>
      <c r="DF63">
        <f>ROUND(ROUND(AE63*AI63,2)*CX63,2)</f>
        <v>-356.89</v>
      </c>
      <c r="DG63">
        <f t="shared" ref="DG63:DG70" si="20">ROUND(ROUND(AF63,2)*CX63,2)</f>
        <v>0</v>
      </c>
      <c r="DH63">
        <f t="shared" ref="DH63:DH70" si="21">ROUND(ROUND(AG63,2)*CX63,2)</f>
        <v>0</v>
      </c>
      <c r="DI63">
        <f t="shared" si="14"/>
        <v>0</v>
      </c>
      <c r="DJ63">
        <f>DF63</f>
        <v>-356.89</v>
      </c>
      <c r="DK63">
        <v>0</v>
      </c>
      <c r="DL63" t="s">
        <v>3</v>
      </c>
      <c r="DM63">
        <v>0</v>
      </c>
      <c r="DN63" t="s">
        <v>3</v>
      </c>
      <c r="DO63">
        <v>0</v>
      </c>
    </row>
    <row r="64" spans="1:119" x14ac:dyDescent="0.2">
      <c r="A64">
        <f>ROW(Source!A42)</f>
        <v>42</v>
      </c>
      <c r="B64">
        <v>92408302</v>
      </c>
      <c r="C64">
        <v>92408594</v>
      </c>
      <c r="D64">
        <v>37729662</v>
      </c>
      <c r="E64">
        <v>1</v>
      </c>
      <c r="F64">
        <v>1</v>
      </c>
      <c r="G64">
        <v>1</v>
      </c>
      <c r="H64">
        <v>3</v>
      </c>
      <c r="I64" t="s">
        <v>372</v>
      </c>
      <c r="J64" t="s">
        <v>373</v>
      </c>
      <c r="K64" t="s">
        <v>374</v>
      </c>
      <c r="L64">
        <v>1346</v>
      </c>
      <c r="N64">
        <v>1009</v>
      </c>
      <c r="O64" t="s">
        <v>61</v>
      </c>
      <c r="P64" t="s">
        <v>61</v>
      </c>
      <c r="Q64">
        <v>1</v>
      </c>
      <c r="W64">
        <v>0</v>
      </c>
      <c r="X64">
        <v>873943321</v>
      </c>
      <c r="Y64">
        <f t="shared" si="11"/>
        <v>0.15</v>
      </c>
      <c r="AA64">
        <v>53.03</v>
      </c>
      <c r="AB64">
        <v>0</v>
      </c>
      <c r="AC64">
        <v>0</v>
      </c>
      <c r="AD64">
        <v>0</v>
      </c>
      <c r="AE64">
        <v>6.62</v>
      </c>
      <c r="AF64">
        <v>0</v>
      </c>
      <c r="AG64">
        <v>0</v>
      </c>
      <c r="AH64">
        <v>0</v>
      </c>
      <c r="AI64">
        <v>8.01</v>
      </c>
      <c r="AJ64">
        <v>1</v>
      </c>
      <c r="AK64">
        <v>1</v>
      </c>
      <c r="AL64">
        <v>1</v>
      </c>
      <c r="AM64">
        <v>2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3</v>
      </c>
      <c r="AT64">
        <v>0.15</v>
      </c>
      <c r="AU64" t="s">
        <v>3</v>
      </c>
      <c r="AV64">
        <v>0</v>
      </c>
      <c r="AW64">
        <v>2</v>
      </c>
      <c r="AX64">
        <v>92408609</v>
      </c>
      <c r="AY64">
        <v>1</v>
      </c>
      <c r="AZ64">
        <v>0</v>
      </c>
      <c r="BA64">
        <v>64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V64">
        <v>0</v>
      </c>
      <c r="CW64">
        <v>0</v>
      </c>
      <c r="CX64">
        <f>ROUND(Y64*Source!I42,9)</f>
        <v>0.6</v>
      </c>
      <c r="CY64">
        <f>AA64</f>
        <v>53.03</v>
      </c>
      <c r="CZ64">
        <f>AE64</f>
        <v>6.62</v>
      </c>
      <c r="DA64">
        <f>AI64</f>
        <v>8.01</v>
      </c>
      <c r="DB64">
        <f t="shared" si="12"/>
        <v>0.99</v>
      </c>
      <c r="DC64">
        <f t="shared" si="13"/>
        <v>0</v>
      </c>
      <c r="DD64" t="s">
        <v>3</v>
      </c>
      <c r="DE64" t="s">
        <v>3</v>
      </c>
      <c r="DF64">
        <f>ROUND(ROUND(AE64*AI64,2)*CX64,2)</f>
        <v>31.82</v>
      </c>
      <c r="DG64">
        <f t="shared" si="20"/>
        <v>0</v>
      </c>
      <c r="DH64">
        <f t="shared" si="21"/>
        <v>0</v>
      </c>
      <c r="DI64">
        <f t="shared" si="14"/>
        <v>0</v>
      </c>
      <c r="DJ64">
        <f>DF64</f>
        <v>31.82</v>
      </c>
      <c r="DK64">
        <v>0</v>
      </c>
      <c r="DL64" t="s">
        <v>3</v>
      </c>
      <c r="DM64">
        <v>0</v>
      </c>
      <c r="DN64" t="s">
        <v>3</v>
      </c>
      <c r="DO64">
        <v>0</v>
      </c>
    </row>
    <row r="65" spans="1:119" x14ac:dyDescent="0.2">
      <c r="A65">
        <f>ROW(Source!A42)</f>
        <v>42</v>
      </c>
      <c r="B65">
        <v>92408302</v>
      </c>
      <c r="C65">
        <v>92408594</v>
      </c>
      <c r="D65">
        <v>37733003</v>
      </c>
      <c r="E65">
        <v>1</v>
      </c>
      <c r="F65">
        <v>1</v>
      </c>
      <c r="G65">
        <v>1</v>
      </c>
      <c r="H65">
        <v>3</v>
      </c>
      <c r="I65" t="s">
        <v>351</v>
      </c>
      <c r="J65" t="s">
        <v>352</v>
      </c>
      <c r="K65" t="s">
        <v>353</v>
      </c>
      <c r="L65">
        <v>1308</v>
      </c>
      <c r="N65">
        <v>1003</v>
      </c>
      <c r="O65" t="s">
        <v>66</v>
      </c>
      <c r="P65" t="s">
        <v>66</v>
      </c>
      <c r="Q65">
        <v>100</v>
      </c>
      <c r="W65">
        <v>0</v>
      </c>
      <c r="X65">
        <v>-737867663</v>
      </c>
      <c r="Y65">
        <f t="shared" ref="Y65:Y78" si="22">AT65</f>
        <v>2.3999999999999998E-3</v>
      </c>
      <c r="AA65">
        <v>767.34</v>
      </c>
      <c r="AB65">
        <v>0</v>
      </c>
      <c r="AC65">
        <v>0</v>
      </c>
      <c r="AD65">
        <v>0</v>
      </c>
      <c r="AE65">
        <v>121.8</v>
      </c>
      <c r="AF65">
        <v>0</v>
      </c>
      <c r="AG65">
        <v>0</v>
      </c>
      <c r="AH65">
        <v>0</v>
      </c>
      <c r="AI65">
        <v>6.3</v>
      </c>
      <c r="AJ65">
        <v>1</v>
      </c>
      <c r="AK65">
        <v>1</v>
      </c>
      <c r="AL65">
        <v>1</v>
      </c>
      <c r="AM65">
        <v>2</v>
      </c>
      <c r="AN65">
        <v>0</v>
      </c>
      <c r="AO65">
        <v>1</v>
      </c>
      <c r="AP65">
        <v>0</v>
      </c>
      <c r="AQ65">
        <v>0</v>
      </c>
      <c r="AR65">
        <v>0</v>
      </c>
      <c r="AS65" t="s">
        <v>3</v>
      </c>
      <c r="AT65">
        <v>2.3999999999999998E-3</v>
      </c>
      <c r="AU65" t="s">
        <v>3</v>
      </c>
      <c r="AV65">
        <v>0</v>
      </c>
      <c r="AW65">
        <v>2</v>
      </c>
      <c r="AX65">
        <v>92408610</v>
      </c>
      <c r="AY65">
        <v>1</v>
      </c>
      <c r="AZ65">
        <v>0</v>
      </c>
      <c r="BA65">
        <v>65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V65">
        <v>0</v>
      </c>
      <c r="CW65">
        <v>0</v>
      </c>
      <c r="CX65">
        <f>ROUND(Y65*Source!I42,9)</f>
        <v>9.5999999999999992E-3</v>
      </c>
      <c r="CY65">
        <f>AA65</f>
        <v>767.34</v>
      </c>
      <c r="CZ65">
        <f>AE65</f>
        <v>121.8</v>
      </c>
      <c r="DA65">
        <f>AI65</f>
        <v>6.3</v>
      </c>
      <c r="DB65">
        <f t="shared" ref="DB65:DB78" si="23">ROUND(ROUND(AT65*CZ65,2),2)</f>
        <v>0.28999999999999998</v>
      </c>
      <c r="DC65">
        <f t="shared" ref="DC65:DC78" si="24">ROUND(ROUND(AT65*AG65,2),2)</f>
        <v>0</v>
      </c>
      <c r="DD65" t="s">
        <v>3</v>
      </c>
      <c r="DE65" t="s">
        <v>3</v>
      </c>
      <c r="DF65">
        <f>ROUND(ROUND(AE65*AI65,2)*CX65,2)</f>
        <v>7.37</v>
      </c>
      <c r="DG65">
        <f t="shared" si="20"/>
        <v>0</v>
      </c>
      <c r="DH65">
        <f t="shared" si="21"/>
        <v>0</v>
      </c>
      <c r="DI65">
        <f t="shared" ref="DI65:DI78" si="25">ROUND(ROUND(AH65,2)*CX65,2)</f>
        <v>0</v>
      </c>
      <c r="DJ65">
        <f>DF65</f>
        <v>7.37</v>
      </c>
      <c r="DK65">
        <v>0</v>
      </c>
      <c r="DL65" t="s">
        <v>3</v>
      </c>
      <c r="DM65">
        <v>0</v>
      </c>
      <c r="DN65" t="s">
        <v>3</v>
      </c>
      <c r="DO65">
        <v>0</v>
      </c>
    </row>
    <row r="66" spans="1:119" x14ac:dyDescent="0.2">
      <c r="A66">
        <f>ROW(Source!A42)</f>
        <v>42</v>
      </c>
      <c r="B66">
        <v>92408302</v>
      </c>
      <c r="C66">
        <v>92408594</v>
      </c>
      <c r="D66">
        <v>37801806</v>
      </c>
      <c r="E66">
        <v>1</v>
      </c>
      <c r="F66">
        <v>1</v>
      </c>
      <c r="G66">
        <v>1</v>
      </c>
      <c r="H66">
        <v>3</v>
      </c>
      <c r="I66" t="s">
        <v>375</v>
      </c>
      <c r="J66" t="s">
        <v>376</v>
      </c>
      <c r="K66" t="s">
        <v>377</v>
      </c>
      <c r="L66">
        <v>1348</v>
      </c>
      <c r="N66">
        <v>1009</v>
      </c>
      <c r="O66" t="s">
        <v>97</v>
      </c>
      <c r="P66" t="s">
        <v>97</v>
      </c>
      <c r="Q66">
        <v>1000</v>
      </c>
      <c r="W66">
        <v>0</v>
      </c>
      <c r="X66">
        <v>-1643130855</v>
      </c>
      <c r="Y66">
        <f t="shared" si="22"/>
        <v>1.0000000000000001E-5</v>
      </c>
      <c r="AA66">
        <v>91524.6</v>
      </c>
      <c r="AB66">
        <v>0</v>
      </c>
      <c r="AC66">
        <v>0</v>
      </c>
      <c r="AD66">
        <v>0</v>
      </c>
      <c r="AE66">
        <v>9301.2800000000007</v>
      </c>
      <c r="AF66">
        <v>0</v>
      </c>
      <c r="AG66">
        <v>0</v>
      </c>
      <c r="AH66">
        <v>0</v>
      </c>
      <c r="AI66">
        <v>9.84</v>
      </c>
      <c r="AJ66">
        <v>1</v>
      </c>
      <c r="AK66">
        <v>1</v>
      </c>
      <c r="AL66">
        <v>1</v>
      </c>
      <c r="AM66">
        <v>2</v>
      </c>
      <c r="AN66">
        <v>0</v>
      </c>
      <c r="AO66">
        <v>1</v>
      </c>
      <c r="AP66">
        <v>0</v>
      </c>
      <c r="AQ66">
        <v>0</v>
      </c>
      <c r="AR66">
        <v>0</v>
      </c>
      <c r="AS66" t="s">
        <v>3</v>
      </c>
      <c r="AT66">
        <v>1.0000000000000001E-5</v>
      </c>
      <c r="AU66" t="s">
        <v>3</v>
      </c>
      <c r="AV66">
        <v>0</v>
      </c>
      <c r="AW66">
        <v>2</v>
      </c>
      <c r="AX66">
        <v>92408611</v>
      </c>
      <c r="AY66">
        <v>1</v>
      </c>
      <c r="AZ66">
        <v>0</v>
      </c>
      <c r="BA66">
        <v>66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V66">
        <v>0</v>
      </c>
      <c r="CW66">
        <v>0</v>
      </c>
      <c r="CX66">
        <f>ROUND(Y66*Source!I42,9)</f>
        <v>4.0000000000000003E-5</v>
      </c>
      <c r="CY66">
        <f>AA66</f>
        <v>91524.6</v>
      </c>
      <c r="CZ66">
        <f>AE66</f>
        <v>9301.2800000000007</v>
      </c>
      <c r="DA66">
        <f>AI66</f>
        <v>9.84</v>
      </c>
      <c r="DB66">
        <f t="shared" si="23"/>
        <v>0.09</v>
      </c>
      <c r="DC66">
        <f t="shared" si="24"/>
        <v>0</v>
      </c>
      <c r="DD66" t="s">
        <v>3</v>
      </c>
      <c r="DE66" t="s">
        <v>3</v>
      </c>
      <c r="DF66">
        <f>ROUND(ROUND(AE66*AI66,2)*CX66,2)</f>
        <v>3.66</v>
      </c>
      <c r="DG66">
        <f t="shared" si="20"/>
        <v>0</v>
      </c>
      <c r="DH66">
        <f t="shared" si="21"/>
        <v>0</v>
      </c>
      <c r="DI66">
        <f t="shared" si="25"/>
        <v>0</v>
      </c>
      <c r="DJ66">
        <f>DF66</f>
        <v>3.66</v>
      </c>
      <c r="DK66">
        <v>0</v>
      </c>
      <c r="DL66" t="s">
        <v>3</v>
      </c>
      <c r="DM66">
        <v>0</v>
      </c>
      <c r="DN66" t="s">
        <v>3</v>
      </c>
      <c r="DO66">
        <v>0</v>
      </c>
    </row>
    <row r="67" spans="1:119" x14ac:dyDescent="0.2">
      <c r="A67">
        <f>ROW(Source!A42)</f>
        <v>42</v>
      </c>
      <c r="B67">
        <v>92408302</v>
      </c>
      <c r="C67">
        <v>92408594</v>
      </c>
      <c r="D67">
        <v>37801918</v>
      </c>
      <c r="E67">
        <v>1</v>
      </c>
      <c r="F67">
        <v>1</v>
      </c>
      <c r="G67">
        <v>1</v>
      </c>
      <c r="H67">
        <v>3</v>
      </c>
      <c r="I67" t="s">
        <v>100</v>
      </c>
      <c r="J67" t="s">
        <v>103</v>
      </c>
      <c r="K67" t="s">
        <v>101</v>
      </c>
      <c r="L67">
        <v>1374</v>
      </c>
      <c r="N67">
        <v>1013</v>
      </c>
      <c r="O67" t="s">
        <v>102</v>
      </c>
      <c r="P67" t="s">
        <v>102</v>
      </c>
      <c r="Q67">
        <v>1</v>
      </c>
      <c r="W67">
        <v>0</v>
      </c>
      <c r="X67">
        <v>2131831278</v>
      </c>
      <c r="Y67">
        <f t="shared" si="22"/>
        <v>0.24</v>
      </c>
      <c r="AA67">
        <v>1</v>
      </c>
      <c r="AB67">
        <v>0</v>
      </c>
      <c r="AC67">
        <v>0</v>
      </c>
      <c r="AD67">
        <v>0</v>
      </c>
      <c r="AE67">
        <v>1</v>
      </c>
      <c r="AF67">
        <v>0</v>
      </c>
      <c r="AG67">
        <v>0</v>
      </c>
      <c r="AH67">
        <v>0</v>
      </c>
      <c r="AI67">
        <v>1</v>
      </c>
      <c r="AJ67">
        <v>1</v>
      </c>
      <c r="AK67">
        <v>1</v>
      </c>
      <c r="AL67">
        <v>1</v>
      </c>
      <c r="AM67">
        <v>-2</v>
      </c>
      <c r="AN67">
        <v>0</v>
      </c>
      <c r="AO67">
        <v>1</v>
      </c>
      <c r="AP67">
        <v>0</v>
      </c>
      <c r="AQ67">
        <v>0</v>
      </c>
      <c r="AR67">
        <v>0</v>
      </c>
      <c r="AS67" t="s">
        <v>3</v>
      </c>
      <c r="AT67">
        <v>0.24</v>
      </c>
      <c r="AU67" t="s">
        <v>3</v>
      </c>
      <c r="AV67">
        <v>0</v>
      </c>
      <c r="AW67">
        <v>2</v>
      </c>
      <c r="AX67">
        <v>92408612</v>
      </c>
      <c r="AY67">
        <v>1</v>
      </c>
      <c r="AZ67">
        <v>0</v>
      </c>
      <c r="BA67">
        <v>67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V67">
        <v>0</v>
      </c>
      <c r="CW67">
        <v>0</v>
      </c>
      <c r="CX67">
        <f>ROUND(Y67*Source!I42,9)</f>
        <v>0.96</v>
      </c>
      <c r="CY67">
        <f>AA67</f>
        <v>1</v>
      </c>
      <c r="CZ67">
        <f>AE67</f>
        <v>1</v>
      </c>
      <c r="DA67">
        <f>AI67</f>
        <v>1</v>
      </c>
      <c r="DB67">
        <f t="shared" si="23"/>
        <v>0.24</v>
      </c>
      <c r="DC67">
        <f t="shared" si="24"/>
        <v>0</v>
      </c>
      <c r="DD67" t="s">
        <v>3</v>
      </c>
      <c r="DE67" t="s">
        <v>3</v>
      </c>
      <c r="DF67">
        <f t="shared" ref="DF67:DF72" si="26">ROUND(ROUND(AE67,2)*CX67,2)</f>
        <v>0.96</v>
      </c>
      <c r="DG67">
        <f t="shared" si="20"/>
        <v>0</v>
      </c>
      <c r="DH67">
        <f t="shared" si="21"/>
        <v>0</v>
      </c>
      <c r="DI67">
        <f t="shared" si="25"/>
        <v>0</v>
      </c>
      <c r="DJ67">
        <f>DF67</f>
        <v>0.96</v>
      </c>
      <c r="DK67">
        <v>0</v>
      </c>
      <c r="DL67" t="s">
        <v>3</v>
      </c>
      <c r="DM67">
        <v>0</v>
      </c>
      <c r="DN67" t="s">
        <v>3</v>
      </c>
      <c r="DO67">
        <v>0</v>
      </c>
    </row>
    <row r="68" spans="1:119" x14ac:dyDescent="0.2">
      <c r="A68">
        <f>ROW(Source!A44)</f>
        <v>44</v>
      </c>
      <c r="B68">
        <v>92408302</v>
      </c>
      <c r="C68">
        <v>92408632</v>
      </c>
      <c r="D68">
        <v>23351395</v>
      </c>
      <c r="E68">
        <v>1</v>
      </c>
      <c r="F68">
        <v>1</v>
      </c>
      <c r="G68">
        <v>1</v>
      </c>
      <c r="H68">
        <v>1</v>
      </c>
      <c r="I68" t="s">
        <v>337</v>
      </c>
      <c r="J68" t="s">
        <v>3</v>
      </c>
      <c r="K68" t="s">
        <v>338</v>
      </c>
      <c r="L68">
        <v>1369</v>
      </c>
      <c r="N68">
        <v>1013</v>
      </c>
      <c r="O68" t="s">
        <v>325</v>
      </c>
      <c r="P68" t="s">
        <v>325</v>
      </c>
      <c r="Q68">
        <v>1</v>
      </c>
      <c r="W68">
        <v>0</v>
      </c>
      <c r="X68">
        <v>1072260845</v>
      </c>
      <c r="Y68">
        <f t="shared" si="22"/>
        <v>30.4</v>
      </c>
      <c r="AA68">
        <v>0</v>
      </c>
      <c r="AB68">
        <v>0</v>
      </c>
      <c r="AC68">
        <v>0</v>
      </c>
      <c r="AD68">
        <v>8.99</v>
      </c>
      <c r="AE68">
        <v>0</v>
      </c>
      <c r="AF68">
        <v>0</v>
      </c>
      <c r="AG68">
        <v>0</v>
      </c>
      <c r="AH68">
        <v>8.99</v>
      </c>
      <c r="AI68">
        <v>1</v>
      </c>
      <c r="AJ68">
        <v>1</v>
      </c>
      <c r="AK68">
        <v>1</v>
      </c>
      <c r="AL68">
        <v>1</v>
      </c>
      <c r="AM68">
        <v>-2</v>
      </c>
      <c r="AN68">
        <v>0</v>
      </c>
      <c r="AO68">
        <v>1</v>
      </c>
      <c r="AP68">
        <v>0</v>
      </c>
      <c r="AQ68">
        <v>0</v>
      </c>
      <c r="AR68">
        <v>0</v>
      </c>
      <c r="AS68" t="s">
        <v>3</v>
      </c>
      <c r="AT68">
        <v>30.4</v>
      </c>
      <c r="AU68" t="s">
        <v>3</v>
      </c>
      <c r="AV68">
        <v>1</v>
      </c>
      <c r="AW68">
        <v>2</v>
      </c>
      <c r="AX68">
        <v>92408635</v>
      </c>
      <c r="AY68">
        <v>1</v>
      </c>
      <c r="AZ68">
        <v>0</v>
      </c>
      <c r="BA68">
        <v>68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U68">
        <f>ROUND(AT68*Source!I44*AH68*AL68,2)</f>
        <v>87.45</v>
      </c>
      <c r="CV68">
        <f>ROUND(Y68*Source!I44,9)</f>
        <v>9.7279999999999998</v>
      </c>
      <c r="CW68">
        <v>0</v>
      </c>
      <c r="CX68">
        <f>ROUND(Y68*Source!I44,9)</f>
        <v>9.7279999999999998</v>
      </c>
      <c r="CY68">
        <f>AD68</f>
        <v>8.99</v>
      </c>
      <c r="CZ68">
        <f>AH68</f>
        <v>8.99</v>
      </c>
      <c r="DA68">
        <f>AL68</f>
        <v>1</v>
      </c>
      <c r="DB68">
        <f t="shared" si="23"/>
        <v>273.3</v>
      </c>
      <c r="DC68">
        <f t="shared" si="24"/>
        <v>0</v>
      </c>
      <c r="DD68" t="s">
        <v>3</v>
      </c>
      <c r="DE68" t="s">
        <v>3</v>
      </c>
      <c r="DF68">
        <f t="shared" si="26"/>
        <v>0</v>
      </c>
      <c r="DG68">
        <f t="shared" si="20"/>
        <v>0</v>
      </c>
      <c r="DH68">
        <f t="shared" si="21"/>
        <v>0</v>
      </c>
      <c r="DI68">
        <f t="shared" si="25"/>
        <v>87.45</v>
      </c>
      <c r="DJ68">
        <f>DI68</f>
        <v>87.45</v>
      </c>
      <c r="DK68">
        <v>0</v>
      </c>
      <c r="DL68" t="s">
        <v>3</v>
      </c>
      <c r="DM68">
        <v>0</v>
      </c>
      <c r="DN68" t="s">
        <v>3</v>
      </c>
      <c r="DO68">
        <v>0</v>
      </c>
    </row>
    <row r="69" spans="1:119" x14ac:dyDescent="0.2">
      <c r="A69">
        <f>ROW(Source!A44)</f>
        <v>44</v>
      </c>
      <c r="B69">
        <v>92408302</v>
      </c>
      <c r="C69">
        <v>92408632</v>
      </c>
      <c r="D69">
        <v>37801918</v>
      </c>
      <c r="E69">
        <v>1</v>
      </c>
      <c r="F69">
        <v>1</v>
      </c>
      <c r="G69">
        <v>1</v>
      </c>
      <c r="H69">
        <v>3</v>
      </c>
      <c r="I69" t="s">
        <v>100</v>
      </c>
      <c r="J69" t="s">
        <v>103</v>
      </c>
      <c r="K69" t="s">
        <v>101</v>
      </c>
      <c r="L69">
        <v>1374</v>
      </c>
      <c r="N69">
        <v>1013</v>
      </c>
      <c r="O69" t="s">
        <v>102</v>
      </c>
      <c r="P69" t="s">
        <v>102</v>
      </c>
      <c r="Q69">
        <v>1</v>
      </c>
      <c r="W69">
        <v>0</v>
      </c>
      <c r="X69">
        <v>2131831278</v>
      </c>
      <c r="Y69">
        <f t="shared" si="22"/>
        <v>5.47</v>
      </c>
      <c r="AA69">
        <v>1</v>
      </c>
      <c r="AB69">
        <v>0</v>
      </c>
      <c r="AC69">
        <v>0</v>
      </c>
      <c r="AD69">
        <v>0</v>
      </c>
      <c r="AE69">
        <v>1</v>
      </c>
      <c r="AF69">
        <v>0</v>
      </c>
      <c r="AG69">
        <v>0</v>
      </c>
      <c r="AH69">
        <v>0</v>
      </c>
      <c r="AI69">
        <v>1</v>
      </c>
      <c r="AJ69">
        <v>1</v>
      </c>
      <c r="AK69">
        <v>1</v>
      </c>
      <c r="AL69">
        <v>1</v>
      </c>
      <c r="AM69">
        <v>-2</v>
      </c>
      <c r="AN69">
        <v>0</v>
      </c>
      <c r="AO69">
        <v>1</v>
      </c>
      <c r="AP69">
        <v>0</v>
      </c>
      <c r="AQ69">
        <v>0</v>
      </c>
      <c r="AR69">
        <v>0</v>
      </c>
      <c r="AS69" t="s">
        <v>3</v>
      </c>
      <c r="AT69">
        <v>5.47</v>
      </c>
      <c r="AU69" t="s">
        <v>3</v>
      </c>
      <c r="AV69">
        <v>0</v>
      </c>
      <c r="AW69">
        <v>2</v>
      </c>
      <c r="AX69">
        <v>92408636</v>
      </c>
      <c r="AY69">
        <v>1</v>
      </c>
      <c r="AZ69">
        <v>0</v>
      </c>
      <c r="BA69">
        <v>69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V69">
        <v>0</v>
      </c>
      <c r="CW69">
        <v>0</v>
      </c>
      <c r="CX69">
        <f>ROUND(Y69*Source!I44,9)</f>
        <v>1.7504</v>
      </c>
      <c r="CY69">
        <f>AA69</f>
        <v>1</v>
      </c>
      <c r="CZ69">
        <f>AE69</f>
        <v>1</v>
      </c>
      <c r="DA69">
        <f>AI69</f>
        <v>1</v>
      </c>
      <c r="DB69">
        <f t="shared" si="23"/>
        <v>5.47</v>
      </c>
      <c r="DC69">
        <f t="shared" si="24"/>
        <v>0</v>
      </c>
      <c r="DD69" t="s">
        <v>3</v>
      </c>
      <c r="DE69" t="s">
        <v>3</v>
      </c>
      <c r="DF69">
        <f t="shared" si="26"/>
        <v>1.75</v>
      </c>
      <c r="DG69">
        <f t="shared" si="20"/>
        <v>0</v>
      </c>
      <c r="DH69">
        <f t="shared" si="21"/>
        <v>0</v>
      </c>
      <c r="DI69">
        <f t="shared" si="25"/>
        <v>0</v>
      </c>
      <c r="DJ69">
        <f>DF69</f>
        <v>1.75</v>
      </c>
      <c r="DK69">
        <v>0</v>
      </c>
      <c r="DL69" t="s">
        <v>3</v>
      </c>
      <c r="DM69">
        <v>0</v>
      </c>
      <c r="DN69" t="s">
        <v>3</v>
      </c>
      <c r="DO69">
        <v>0</v>
      </c>
    </row>
    <row r="70" spans="1:119" x14ac:dyDescent="0.2">
      <c r="A70">
        <f>ROW(Source!A45)</f>
        <v>45</v>
      </c>
      <c r="B70">
        <v>92408302</v>
      </c>
      <c r="C70">
        <v>92408853</v>
      </c>
      <c r="D70">
        <v>23129487</v>
      </c>
      <c r="E70">
        <v>1</v>
      </c>
      <c r="F70">
        <v>1</v>
      </c>
      <c r="G70">
        <v>1</v>
      </c>
      <c r="H70">
        <v>1</v>
      </c>
      <c r="I70" t="s">
        <v>378</v>
      </c>
      <c r="J70" t="s">
        <v>3</v>
      </c>
      <c r="K70" t="s">
        <v>379</v>
      </c>
      <c r="L70">
        <v>1369</v>
      </c>
      <c r="N70">
        <v>1013</v>
      </c>
      <c r="O70" t="s">
        <v>325</v>
      </c>
      <c r="P70" t="s">
        <v>325</v>
      </c>
      <c r="Q70">
        <v>1</v>
      </c>
      <c r="W70">
        <v>0</v>
      </c>
      <c r="X70">
        <v>2002501603</v>
      </c>
      <c r="Y70">
        <f t="shared" si="22"/>
        <v>62.41</v>
      </c>
      <c r="AA70">
        <v>0</v>
      </c>
      <c r="AB70">
        <v>0</v>
      </c>
      <c r="AC70">
        <v>0</v>
      </c>
      <c r="AD70">
        <v>8.48</v>
      </c>
      <c r="AE70">
        <v>0</v>
      </c>
      <c r="AF70">
        <v>0</v>
      </c>
      <c r="AG70">
        <v>0</v>
      </c>
      <c r="AH70">
        <v>8.48</v>
      </c>
      <c r="AI70">
        <v>1</v>
      </c>
      <c r="AJ70">
        <v>1</v>
      </c>
      <c r="AK70">
        <v>1</v>
      </c>
      <c r="AL70">
        <v>1</v>
      </c>
      <c r="AM70">
        <v>-2</v>
      </c>
      <c r="AN70">
        <v>0</v>
      </c>
      <c r="AO70">
        <v>1</v>
      </c>
      <c r="AP70">
        <v>1</v>
      </c>
      <c r="AQ70">
        <v>0</v>
      </c>
      <c r="AR70">
        <v>0</v>
      </c>
      <c r="AS70" t="s">
        <v>3</v>
      </c>
      <c r="AT70">
        <v>62.41</v>
      </c>
      <c r="AU70" t="s">
        <v>3</v>
      </c>
      <c r="AV70">
        <v>1</v>
      </c>
      <c r="AW70">
        <v>2</v>
      </c>
      <c r="AX70">
        <v>92408854</v>
      </c>
      <c r="AY70">
        <v>1</v>
      </c>
      <c r="AZ70">
        <v>0</v>
      </c>
      <c r="BA70">
        <v>70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U70">
        <f>ROUND(AT70*Source!I45*AH70*AL70,2)</f>
        <v>52.92</v>
      </c>
      <c r="CV70">
        <f>ROUND(Y70*Source!I45,9)</f>
        <v>6.2409999999999997</v>
      </c>
      <c r="CW70">
        <v>0</v>
      </c>
      <c r="CX70">
        <f>ROUND(Y70*Source!I45,9)</f>
        <v>6.2409999999999997</v>
      </c>
      <c r="CY70">
        <f>AD70</f>
        <v>8.48</v>
      </c>
      <c r="CZ70">
        <f>AH70</f>
        <v>8.48</v>
      </c>
      <c r="DA70">
        <f>AL70</f>
        <v>1</v>
      </c>
      <c r="DB70">
        <f t="shared" si="23"/>
        <v>529.24</v>
      </c>
      <c r="DC70">
        <f t="shared" si="24"/>
        <v>0</v>
      </c>
      <c r="DD70" t="s">
        <v>3</v>
      </c>
      <c r="DE70" t="s">
        <v>3</v>
      </c>
      <c r="DF70">
        <f t="shared" si="26"/>
        <v>0</v>
      </c>
      <c r="DG70">
        <f t="shared" si="20"/>
        <v>0</v>
      </c>
      <c r="DH70">
        <f t="shared" si="21"/>
        <v>0</v>
      </c>
      <c r="DI70">
        <f t="shared" si="25"/>
        <v>52.92</v>
      </c>
      <c r="DJ70">
        <f>DI70</f>
        <v>52.92</v>
      </c>
      <c r="DK70">
        <v>0</v>
      </c>
      <c r="DL70" t="s">
        <v>3</v>
      </c>
      <c r="DM70">
        <v>0</v>
      </c>
      <c r="DN70" t="s">
        <v>3</v>
      </c>
      <c r="DO70">
        <v>0</v>
      </c>
    </row>
    <row r="71" spans="1:119" x14ac:dyDescent="0.2">
      <c r="A71">
        <f>ROW(Source!A45)</f>
        <v>45</v>
      </c>
      <c r="B71">
        <v>92408302</v>
      </c>
      <c r="C71">
        <v>92408853</v>
      </c>
      <c r="D71">
        <v>37804211</v>
      </c>
      <c r="E71">
        <v>1</v>
      </c>
      <c r="F71">
        <v>1</v>
      </c>
      <c r="G71">
        <v>1</v>
      </c>
      <c r="H71">
        <v>2</v>
      </c>
      <c r="I71" t="s">
        <v>380</v>
      </c>
      <c r="J71" t="s">
        <v>381</v>
      </c>
      <c r="K71" t="s">
        <v>382</v>
      </c>
      <c r="L71">
        <v>1368</v>
      </c>
      <c r="N71">
        <v>1011</v>
      </c>
      <c r="O71" t="s">
        <v>331</v>
      </c>
      <c r="P71" t="s">
        <v>331</v>
      </c>
      <c r="Q71">
        <v>1</v>
      </c>
      <c r="W71">
        <v>0</v>
      </c>
      <c r="X71">
        <v>-244626325</v>
      </c>
      <c r="Y71">
        <f t="shared" si="22"/>
        <v>25.2</v>
      </c>
      <c r="AA71">
        <v>0</v>
      </c>
      <c r="AB71">
        <v>43.92</v>
      </c>
      <c r="AC71">
        <v>0</v>
      </c>
      <c r="AD71">
        <v>0</v>
      </c>
      <c r="AE71">
        <v>0</v>
      </c>
      <c r="AF71">
        <v>7.52</v>
      </c>
      <c r="AG71">
        <v>0</v>
      </c>
      <c r="AH71">
        <v>0</v>
      </c>
      <c r="AI71">
        <v>1</v>
      </c>
      <c r="AJ71">
        <v>5.84</v>
      </c>
      <c r="AK71">
        <v>33.08</v>
      </c>
      <c r="AL71">
        <v>1</v>
      </c>
      <c r="AM71">
        <v>2</v>
      </c>
      <c r="AN71">
        <v>0</v>
      </c>
      <c r="AO71">
        <v>1</v>
      </c>
      <c r="AP71">
        <v>1</v>
      </c>
      <c r="AQ71">
        <v>0</v>
      </c>
      <c r="AR71">
        <v>0</v>
      </c>
      <c r="AS71" t="s">
        <v>3</v>
      </c>
      <c r="AT71">
        <v>25.2</v>
      </c>
      <c r="AU71" t="s">
        <v>3</v>
      </c>
      <c r="AV71">
        <v>0</v>
      </c>
      <c r="AW71">
        <v>2</v>
      </c>
      <c r="AX71">
        <v>92408855</v>
      </c>
      <c r="AY71">
        <v>1</v>
      </c>
      <c r="AZ71">
        <v>0</v>
      </c>
      <c r="BA71">
        <v>71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V71">
        <v>0</v>
      </c>
      <c r="CW71">
        <f>ROUND(Y71*Source!I45,9)</f>
        <v>2.52</v>
      </c>
      <c r="CX71">
        <f>ROUND(Y71*Source!I45,9)</f>
        <v>2.52</v>
      </c>
      <c r="CY71">
        <f>AB71</f>
        <v>43.92</v>
      </c>
      <c r="CZ71">
        <f>AF71</f>
        <v>7.52</v>
      </c>
      <c r="DA71">
        <f>AJ71</f>
        <v>5.84</v>
      </c>
      <c r="DB71">
        <f t="shared" si="23"/>
        <v>189.5</v>
      </c>
      <c r="DC71">
        <f t="shared" si="24"/>
        <v>0</v>
      </c>
      <c r="DD71" t="s">
        <v>3</v>
      </c>
      <c r="DE71" t="s">
        <v>3</v>
      </c>
      <c r="DF71">
        <f t="shared" si="26"/>
        <v>0</v>
      </c>
      <c r="DG71">
        <f>ROUND(ROUND(AF71*AJ71,2)*CX71,2)</f>
        <v>110.68</v>
      </c>
      <c r="DH71">
        <f>ROUND(ROUND(AG71*AK71,2)*CX71,2)</f>
        <v>0</v>
      </c>
      <c r="DI71">
        <f t="shared" si="25"/>
        <v>0</v>
      </c>
      <c r="DJ71">
        <f>DG71</f>
        <v>110.68</v>
      </c>
      <c r="DK71">
        <v>0</v>
      </c>
      <c r="DL71" t="s">
        <v>3</v>
      </c>
      <c r="DM71">
        <v>0</v>
      </c>
      <c r="DN71" t="s">
        <v>3</v>
      </c>
      <c r="DO71">
        <v>0</v>
      </c>
    </row>
    <row r="72" spans="1:119" x14ac:dyDescent="0.2">
      <c r="A72">
        <f>ROW(Source!A45)</f>
        <v>45</v>
      </c>
      <c r="B72">
        <v>92408302</v>
      </c>
      <c r="C72">
        <v>92408853</v>
      </c>
      <c r="D72">
        <v>37804456</v>
      </c>
      <c r="E72">
        <v>1</v>
      </c>
      <c r="F72">
        <v>1</v>
      </c>
      <c r="G72">
        <v>1</v>
      </c>
      <c r="H72">
        <v>2</v>
      </c>
      <c r="I72" t="s">
        <v>339</v>
      </c>
      <c r="J72" t="s">
        <v>340</v>
      </c>
      <c r="K72" t="s">
        <v>341</v>
      </c>
      <c r="L72">
        <v>1368</v>
      </c>
      <c r="N72">
        <v>1011</v>
      </c>
      <c r="O72" t="s">
        <v>331</v>
      </c>
      <c r="P72" t="s">
        <v>331</v>
      </c>
      <c r="Q72">
        <v>1</v>
      </c>
      <c r="W72">
        <v>0</v>
      </c>
      <c r="X72">
        <v>-671646184</v>
      </c>
      <c r="Y72">
        <f t="shared" si="22"/>
        <v>0.26</v>
      </c>
      <c r="AA72">
        <v>0</v>
      </c>
      <c r="AB72">
        <v>1289.23</v>
      </c>
      <c r="AC72">
        <v>342.38</v>
      </c>
      <c r="AD72">
        <v>0</v>
      </c>
      <c r="AE72">
        <v>0</v>
      </c>
      <c r="AF72">
        <v>91.76</v>
      </c>
      <c r="AG72">
        <v>10.35</v>
      </c>
      <c r="AH72">
        <v>0</v>
      </c>
      <c r="AI72">
        <v>1</v>
      </c>
      <c r="AJ72">
        <v>14.05</v>
      </c>
      <c r="AK72">
        <v>33.08</v>
      </c>
      <c r="AL72">
        <v>1</v>
      </c>
      <c r="AM72">
        <v>2</v>
      </c>
      <c r="AN72">
        <v>0</v>
      </c>
      <c r="AO72">
        <v>1</v>
      </c>
      <c r="AP72">
        <v>1</v>
      </c>
      <c r="AQ72">
        <v>0</v>
      </c>
      <c r="AR72">
        <v>0</v>
      </c>
      <c r="AS72" t="s">
        <v>3</v>
      </c>
      <c r="AT72">
        <v>0.26</v>
      </c>
      <c r="AU72" t="s">
        <v>3</v>
      </c>
      <c r="AV72">
        <v>0</v>
      </c>
      <c r="AW72">
        <v>2</v>
      </c>
      <c r="AX72">
        <v>92408856</v>
      </c>
      <c r="AY72">
        <v>1</v>
      </c>
      <c r="AZ72">
        <v>0</v>
      </c>
      <c r="BA72">
        <v>72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V72">
        <v>0</v>
      </c>
      <c r="CW72">
        <f>ROUND(Y72*Source!I45,9)</f>
        <v>2.5999999999999999E-2</v>
      </c>
      <c r="CX72">
        <f>ROUND(Y72*Source!I45,9)</f>
        <v>2.5999999999999999E-2</v>
      </c>
      <c r="CY72">
        <f>AB72</f>
        <v>1289.23</v>
      </c>
      <c r="CZ72">
        <f>AF72</f>
        <v>91.76</v>
      </c>
      <c r="DA72">
        <f>AJ72</f>
        <v>14.05</v>
      </c>
      <c r="DB72">
        <f t="shared" si="23"/>
        <v>23.86</v>
      </c>
      <c r="DC72">
        <f t="shared" si="24"/>
        <v>2.69</v>
      </c>
      <c r="DD72" t="s">
        <v>3</v>
      </c>
      <c r="DE72" t="s">
        <v>3</v>
      </c>
      <c r="DF72">
        <f t="shared" si="26"/>
        <v>0</v>
      </c>
      <c r="DG72">
        <f>ROUND(ROUND(AF72*AJ72,2)*CX72,2)</f>
        <v>33.520000000000003</v>
      </c>
      <c r="DH72">
        <f>ROUND(ROUND(AG72*AK72,2)*CX72,2)</f>
        <v>8.9</v>
      </c>
      <c r="DI72">
        <f t="shared" si="25"/>
        <v>0</v>
      </c>
      <c r="DJ72">
        <f>DG72</f>
        <v>33.520000000000003</v>
      </c>
      <c r="DK72">
        <v>0</v>
      </c>
      <c r="DL72" t="s">
        <v>3</v>
      </c>
      <c r="DM72">
        <v>0</v>
      </c>
      <c r="DN72" t="s">
        <v>3</v>
      </c>
      <c r="DO72">
        <v>0</v>
      </c>
    </row>
    <row r="73" spans="1:119" x14ac:dyDescent="0.2">
      <c r="A73">
        <f>ROW(Source!A45)</f>
        <v>45</v>
      </c>
      <c r="B73">
        <v>92408302</v>
      </c>
      <c r="C73">
        <v>92408853</v>
      </c>
      <c r="D73">
        <v>37730084</v>
      </c>
      <c r="E73">
        <v>1</v>
      </c>
      <c r="F73">
        <v>1</v>
      </c>
      <c r="G73">
        <v>1</v>
      </c>
      <c r="H73">
        <v>3</v>
      </c>
      <c r="I73" t="s">
        <v>383</v>
      </c>
      <c r="J73" t="s">
        <v>384</v>
      </c>
      <c r="K73" t="s">
        <v>385</v>
      </c>
      <c r="L73">
        <v>1354</v>
      </c>
      <c r="N73">
        <v>1010</v>
      </c>
      <c r="O73" t="s">
        <v>368</v>
      </c>
      <c r="P73" t="s">
        <v>368</v>
      </c>
      <c r="Q73">
        <v>1</v>
      </c>
      <c r="W73">
        <v>0</v>
      </c>
      <c r="X73">
        <v>1394513703</v>
      </c>
      <c r="Y73">
        <f t="shared" si="22"/>
        <v>10</v>
      </c>
      <c r="AA73">
        <v>46.98</v>
      </c>
      <c r="AB73">
        <v>0</v>
      </c>
      <c r="AC73">
        <v>0</v>
      </c>
      <c r="AD73">
        <v>0</v>
      </c>
      <c r="AE73">
        <v>4.5</v>
      </c>
      <c r="AF73">
        <v>0</v>
      </c>
      <c r="AG73">
        <v>0</v>
      </c>
      <c r="AH73">
        <v>0</v>
      </c>
      <c r="AI73">
        <v>10.44</v>
      </c>
      <c r="AJ73">
        <v>1</v>
      </c>
      <c r="AK73">
        <v>1</v>
      </c>
      <c r="AL73">
        <v>1</v>
      </c>
      <c r="AM73">
        <v>2</v>
      </c>
      <c r="AN73">
        <v>0</v>
      </c>
      <c r="AO73">
        <v>1</v>
      </c>
      <c r="AP73">
        <v>1</v>
      </c>
      <c r="AQ73">
        <v>0</v>
      </c>
      <c r="AR73">
        <v>0</v>
      </c>
      <c r="AS73" t="s">
        <v>3</v>
      </c>
      <c r="AT73">
        <v>10</v>
      </c>
      <c r="AU73" t="s">
        <v>3</v>
      </c>
      <c r="AV73">
        <v>0</v>
      </c>
      <c r="AW73">
        <v>2</v>
      </c>
      <c r="AX73">
        <v>92408857</v>
      </c>
      <c r="AY73">
        <v>1</v>
      </c>
      <c r="AZ73">
        <v>0</v>
      </c>
      <c r="BA73">
        <v>73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V73">
        <v>0</v>
      </c>
      <c r="CW73">
        <v>0</v>
      </c>
      <c r="CX73">
        <f>ROUND(Y73*Source!I45,9)</f>
        <v>1</v>
      </c>
      <c r="CY73">
        <f>AA73</f>
        <v>46.98</v>
      </c>
      <c r="CZ73">
        <f>AE73</f>
        <v>4.5</v>
      </c>
      <c r="DA73">
        <f>AI73</f>
        <v>10.44</v>
      </c>
      <c r="DB73">
        <f t="shared" si="23"/>
        <v>45</v>
      </c>
      <c r="DC73">
        <f t="shared" si="24"/>
        <v>0</v>
      </c>
      <c r="DD73" t="s">
        <v>3</v>
      </c>
      <c r="DE73" t="s">
        <v>3</v>
      </c>
      <c r="DF73">
        <f>ROUND(ROUND(AE73*AI73,2)*CX73,2)</f>
        <v>46.98</v>
      </c>
      <c r="DG73">
        <f t="shared" ref="DG73:DG78" si="27">ROUND(ROUND(AF73,2)*CX73,2)</f>
        <v>0</v>
      </c>
      <c r="DH73">
        <f t="shared" ref="DH73:DH78" si="28">ROUND(ROUND(AG73,2)*CX73,2)</f>
        <v>0</v>
      </c>
      <c r="DI73">
        <f t="shared" si="25"/>
        <v>0</v>
      </c>
      <c r="DJ73">
        <f>DF73</f>
        <v>46.98</v>
      </c>
      <c r="DK73">
        <v>0</v>
      </c>
      <c r="DL73" t="s">
        <v>3</v>
      </c>
      <c r="DM73">
        <v>0</v>
      </c>
      <c r="DN73" t="s">
        <v>3</v>
      </c>
      <c r="DO73">
        <v>0</v>
      </c>
    </row>
    <row r="74" spans="1:119" x14ac:dyDescent="0.2">
      <c r="A74">
        <f>ROW(Source!A45)</f>
        <v>45</v>
      </c>
      <c r="B74">
        <v>92408302</v>
      </c>
      <c r="C74">
        <v>92408853</v>
      </c>
      <c r="D74">
        <v>37729991</v>
      </c>
      <c r="E74">
        <v>1</v>
      </c>
      <c r="F74">
        <v>1</v>
      </c>
      <c r="G74">
        <v>1</v>
      </c>
      <c r="H74">
        <v>3</v>
      </c>
      <c r="I74" t="s">
        <v>386</v>
      </c>
      <c r="J74" t="s">
        <v>387</v>
      </c>
      <c r="K74" t="s">
        <v>388</v>
      </c>
      <c r="L74">
        <v>1346</v>
      </c>
      <c r="N74">
        <v>1009</v>
      </c>
      <c r="O74" t="s">
        <v>61</v>
      </c>
      <c r="P74" t="s">
        <v>61</v>
      </c>
      <c r="Q74">
        <v>1</v>
      </c>
      <c r="W74">
        <v>0</v>
      </c>
      <c r="X74">
        <v>844235703</v>
      </c>
      <c r="Y74">
        <f t="shared" si="22"/>
        <v>10</v>
      </c>
      <c r="AA74">
        <v>27.37</v>
      </c>
      <c r="AB74">
        <v>0</v>
      </c>
      <c r="AC74">
        <v>0</v>
      </c>
      <c r="AD74">
        <v>0</v>
      </c>
      <c r="AE74">
        <v>1.82</v>
      </c>
      <c r="AF74">
        <v>0</v>
      </c>
      <c r="AG74">
        <v>0</v>
      </c>
      <c r="AH74">
        <v>0</v>
      </c>
      <c r="AI74">
        <v>15.04</v>
      </c>
      <c r="AJ74">
        <v>1</v>
      </c>
      <c r="AK74">
        <v>1</v>
      </c>
      <c r="AL74">
        <v>1</v>
      </c>
      <c r="AM74">
        <v>2</v>
      </c>
      <c r="AN74">
        <v>0</v>
      </c>
      <c r="AO74">
        <v>1</v>
      </c>
      <c r="AP74">
        <v>1</v>
      </c>
      <c r="AQ74">
        <v>0</v>
      </c>
      <c r="AR74">
        <v>0</v>
      </c>
      <c r="AS74" t="s">
        <v>3</v>
      </c>
      <c r="AT74">
        <v>10</v>
      </c>
      <c r="AU74" t="s">
        <v>3</v>
      </c>
      <c r="AV74">
        <v>0</v>
      </c>
      <c r="AW74">
        <v>2</v>
      </c>
      <c r="AX74">
        <v>92408858</v>
      </c>
      <c r="AY74">
        <v>1</v>
      </c>
      <c r="AZ74">
        <v>0</v>
      </c>
      <c r="BA74">
        <v>74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V74">
        <v>0</v>
      </c>
      <c r="CW74">
        <v>0</v>
      </c>
      <c r="CX74">
        <f>ROUND(Y74*Source!I45,9)</f>
        <v>1</v>
      </c>
      <c r="CY74">
        <f>AA74</f>
        <v>27.37</v>
      </c>
      <c r="CZ74">
        <f>AE74</f>
        <v>1.82</v>
      </c>
      <c r="DA74">
        <f>AI74</f>
        <v>15.04</v>
      </c>
      <c r="DB74">
        <f t="shared" si="23"/>
        <v>18.2</v>
      </c>
      <c r="DC74">
        <f t="shared" si="24"/>
        <v>0</v>
      </c>
      <c r="DD74" t="s">
        <v>3</v>
      </c>
      <c r="DE74" t="s">
        <v>3</v>
      </c>
      <c r="DF74">
        <f>ROUND(ROUND(AE74*AI74,2)*CX74,2)</f>
        <v>27.37</v>
      </c>
      <c r="DG74">
        <f t="shared" si="27"/>
        <v>0</v>
      </c>
      <c r="DH74">
        <f t="shared" si="28"/>
        <v>0</v>
      </c>
      <c r="DI74">
        <f t="shared" si="25"/>
        <v>0</v>
      </c>
      <c r="DJ74">
        <f>DF74</f>
        <v>27.37</v>
      </c>
      <c r="DK74">
        <v>0</v>
      </c>
      <c r="DL74" t="s">
        <v>3</v>
      </c>
      <c r="DM74">
        <v>0</v>
      </c>
      <c r="DN74" t="s">
        <v>3</v>
      </c>
      <c r="DO74">
        <v>0</v>
      </c>
    </row>
    <row r="75" spans="1:119" x14ac:dyDescent="0.2">
      <c r="A75">
        <f>ROW(Source!A45)</f>
        <v>45</v>
      </c>
      <c r="B75">
        <v>92408302</v>
      </c>
      <c r="C75">
        <v>92408853</v>
      </c>
      <c r="D75">
        <v>37745190</v>
      </c>
      <c r="E75">
        <v>1</v>
      </c>
      <c r="F75">
        <v>1</v>
      </c>
      <c r="G75">
        <v>1</v>
      </c>
      <c r="H75">
        <v>3</v>
      </c>
      <c r="I75" t="s">
        <v>389</v>
      </c>
      <c r="J75" t="s">
        <v>390</v>
      </c>
      <c r="K75" t="s">
        <v>391</v>
      </c>
      <c r="L75">
        <v>1346</v>
      </c>
      <c r="N75">
        <v>1009</v>
      </c>
      <c r="O75" t="s">
        <v>61</v>
      </c>
      <c r="P75" t="s">
        <v>61</v>
      </c>
      <c r="Q75">
        <v>1</v>
      </c>
      <c r="W75">
        <v>0</v>
      </c>
      <c r="X75">
        <v>-1217725683</v>
      </c>
      <c r="Y75">
        <f t="shared" si="22"/>
        <v>150</v>
      </c>
      <c r="AA75">
        <v>556.59</v>
      </c>
      <c r="AB75">
        <v>0</v>
      </c>
      <c r="AC75">
        <v>0</v>
      </c>
      <c r="AD75">
        <v>0</v>
      </c>
      <c r="AE75">
        <v>74.41</v>
      </c>
      <c r="AF75">
        <v>0</v>
      </c>
      <c r="AG75">
        <v>0</v>
      </c>
      <c r="AH75">
        <v>0</v>
      </c>
      <c r="AI75">
        <v>7.48</v>
      </c>
      <c r="AJ75">
        <v>1</v>
      </c>
      <c r="AK75">
        <v>1</v>
      </c>
      <c r="AL75">
        <v>1</v>
      </c>
      <c r="AM75">
        <v>2</v>
      </c>
      <c r="AN75">
        <v>0</v>
      </c>
      <c r="AO75">
        <v>1</v>
      </c>
      <c r="AP75">
        <v>1</v>
      </c>
      <c r="AQ75">
        <v>0</v>
      </c>
      <c r="AR75">
        <v>0</v>
      </c>
      <c r="AS75" t="s">
        <v>3</v>
      </c>
      <c r="AT75">
        <v>150</v>
      </c>
      <c r="AU75" t="s">
        <v>3</v>
      </c>
      <c r="AV75">
        <v>0</v>
      </c>
      <c r="AW75">
        <v>2</v>
      </c>
      <c r="AX75">
        <v>92408859</v>
      </c>
      <c r="AY75">
        <v>1</v>
      </c>
      <c r="AZ75">
        <v>0</v>
      </c>
      <c r="BA75">
        <v>75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V75">
        <v>0</v>
      </c>
      <c r="CW75">
        <v>0</v>
      </c>
      <c r="CX75">
        <f>ROUND(Y75*Source!I45,9)</f>
        <v>15</v>
      </c>
      <c r="CY75">
        <f>AA75</f>
        <v>556.59</v>
      </c>
      <c r="CZ75">
        <f>AE75</f>
        <v>74.41</v>
      </c>
      <c r="DA75">
        <f>AI75</f>
        <v>7.48</v>
      </c>
      <c r="DB75">
        <f t="shared" si="23"/>
        <v>11161.5</v>
      </c>
      <c r="DC75">
        <f t="shared" si="24"/>
        <v>0</v>
      </c>
      <c r="DD75" t="s">
        <v>3</v>
      </c>
      <c r="DE75" t="s">
        <v>3</v>
      </c>
      <c r="DF75">
        <f>ROUND(ROUND(AE75*AI75,2)*CX75,2)</f>
        <v>8348.85</v>
      </c>
      <c r="DG75">
        <f t="shared" si="27"/>
        <v>0</v>
      </c>
      <c r="DH75">
        <f t="shared" si="28"/>
        <v>0</v>
      </c>
      <c r="DI75">
        <f t="shared" si="25"/>
        <v>0</v>
      </c>
      <c r="DJ75">
        <f>DF75</f>
        <v>8348.85</v>
      </c>
      <c r="DK75">
        <v>0</v>
      </c>
      <c r="DL75" t="s">
        <v>3</v>
      </c>
      <c r="DM75">
        <v>0</v>
      </c>
      <c r="DN75" t="s">
        <v>3</v>
      </c>
      <c r="DO75">
        <v>0</v>
      </c>
    </row>
    <row r="76" spans="1:119" x14ac:dyDescent="0.2">
      <c r="A76">
        <f>ROW(Source!A45)</f>
        <v>45</v>
      </c>
      <c r="B76">
        <v>92408302</v>
      </c>
      <c r="C76">
        <v>92408853</v>
      </c>
      <c r="D76">
        <v>37777802</v>
      </c>
      <c r="E76">
        <v>1</v>
      </c>
      <c r="F76">
        <v>1</v>
      </c>
      <c r="G76">
        <v>1</v>
      </c>
      <c r="H76">
        <v>3</v>
      </c>
      <c r="I76" t="s">
        <v>392</v>
      </c>
      <c r="J76" t="s">
        <v>393</v>
      </c>
      <c r="K76" t="s">
        <v>394</v>
      </c>
      <c r="L76">
        <v>1339</v>
      </c>
      <c r="N76">
        <v>1007</v>
      </c>
      <c r="O76" t="s">
        <v>395</v>
      </c>
      <c r="P76" t="s">
        <v>395</v>
      </c>
      <c r="Q76">
        <v>1</v>
      </c>
      <c r="W76">
        <v>0</v>
      </c>
      <c r="X76">
        <v>-1418712732</v>
      </c>
      <c r="Y76">
        <f t="shared" si="22"/>
        <v>0.21</v>
      </c>
      <c r="AA76">
        <v>19.59</v>
      </c>
      <c r="AB76">
        <v>0</v>
      </c>
      <c r="AC76">
        <v>0</v>
      </c>
      <c r="AD76">
        <v>0</v>
      </c>
      <c r="AE76">
        <v>2.4700000000000002</v>
      </c>
      <c r="AF76">
        <v>0</v>
      </c>
      <c r="AG76">
        <v>0</v>
      </c>
      <c r="AH76">
        <v>0</v>
      </c>
      <c r="AI76">
        <v>7.93</v>
      </c>
      <c r="AJ76">
        <v>1</v>
      </c>
      <c r="AK76">
        <v>1</v>
      </c>
      <c r="AL76">
        <v>1</v>
      </c>
      <c r="AM76">
        <v>2</v>
      </c>
      <c r="AN76">
        <v>0</v>
      </c>
      <c r="AO76">
        <v>1</v>
      </c>
      <c r="AP76">
        <v>1</v>
      </c>
      <c r="AQ76">
        <v>0</v>
      </c>
      <c r="AR76">
        <v>0</v>
      </c>
      <c r="AS76" t="s">
        <v>3</v>
      </c>
      <c r="AT76">
        <v>0.21</v>
      </c>
      <c r="AU76" t="s">
        <v>3</v>
      </c>
      <c r="AV76">
        <v>0</v>
      </c>
      <c r="AW76">
        <v>2</v>
      </c>
      <c r="AX76">
        <v>92408860</v>
      </c>
      <c r="AY76">
        <v>1</v>
      </c>
      <c r="AZ76">
        <v>0</v>
      </c>
      <c r="BA76">
        <v>76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V76">
        <v>0</v>
      </c>
      <c r="CW76">
        <v>0</v>
      </c>
      <c r="CX76">
        <f>ROUND(Y76*Source!I45,9)</f>
        <v>2.1000000000000001E-2</v>
      </c>
      <c r="CY76">
        <f>AA76</f>
        <v>19.59</v>
      </c>
      <c r="CZ76">
        <f>AE76</f>
        <v>2.4700000000000002</v>
      </c>
      <c r="DA76">
        <f>AI76</f>
        <v>7.93</v>
      </c>
      <c r="DB76">
        <f t="shared" si="23"/>
        <v>0.52</v>
      </c>
      <c r="DC76">
        <f t="shared" si="24"/>
        <v>0</v>
      </c>
      <c r="DD76" t="s">
        <v>3</v>
      </c>
      <c r="DE76" t="s">
        <v>3</v>
      </c>
      <c r="DF76">
        <f>ROUND(ROUND(AE76*AI76,2)*CX76,2)</f>
        <v>0.41</v>
      </c>
      <c r="DG76">
        <f t="shared" si="27"/>
        <v>0</v>
      </c>
      <c r="DH76">
        <f t="shared" si="28"/>
        <v>0</v>
      </c>
      <c r="DI76">
        <f t="shared" si="25"/>
        <v>0</v>
      </c>
      <c r="DJ76">
        <f>DF76</f>
        <v>0.41</v>
      </c>
      <c r="DK76">
        <v>0</v>
      </c>
      <c r="DL76" t="s">
        <v>3</v>
      </c>
      <c r="DM76">
        <v>0</v>
      </c>
      <c r="DN76" t="s">
        <v>3</v>
      </c>
      <c r="DO76">
        <v>0</v>
      </c>
    </row>
    <row r="77" spans="1:119" x14ac:dyDescent="0.2">
      <c r="A77">
        <f>ROW(Source!A46)</f>
        <v>46</v>
      </c>
      <c r="B77">
        <v>92408302</v>
      </c>
      <c r="C77">
        <v>92408637</v>
      </c>
      <c r="D77">
        <v>23567055</v>
      </c>
      <c r="E77">
        <v>1</v>
      </c>
      <c r="F77">
        <v>1</v>
      </c>
      <c r="G77">
        <v>1</v>
      </c>
      <c r="H77">
        <v>1</v>
      </c>
      <c r="I77" t="s">
        <v>396</v>
      </c>
      <c r="J77" t="s">
        <v>3</v>
      </c>
      <c r="K77" t="s">
        <v>397</v>
      </c>
      <c r="L77">
        <v>1369</v>
      </c>
      <c r="N77">
        <v>1013</v>
      </c>
      <c r="O77" t="s">
        <v>325</v>
      </c>
      <c r="P77" t="s">
        <v>325</v>
      </c>
      <c r="Q77">
        <v>1</v>
      </c>
      <c r="W77">
        <v>0</v>
      </c>
      <c r="X77">
        <v>-1216080609</v>
      </c>
      <c r="Y77">
        <f t="shared" si="22"/>
        <v>1.94</v>
      </c>
      <c r="AA77">
        <v>0</v>
      </c>
      <c r="AB77">
        <v>0</v>
      </c>
      <c r="AC77">
        <v>0</v>
      </c>
      <c r="AD77">
        <v>8.99</v>
      </c>
      <c r="AE77">
        <v>0</v>
      </c>
      <c r="AF77">
        <v>0</v>
      </c>
      <c r="AG77">
        <v>0</v>
      </c>
      <c r="AH77">
        <v>8.99</v>
      </c>
      <c r="AI77">
        <v>1</v>
      </c>
      <c r="AJ77">
        <v>1</v>
      </c>
      <c r="AK77">
        <v>1</v>
      </c>
      <c r="AL77">
        <v>1</v>
      </c>
      <c r="AM77">
        <v>-2</v>
      </c>
      <c r="AN77">
        <v>0</v>
      </c>
      <c r="AO77">
        <v>1</v>
      </c>
      <c r="AP77">
        <v>1</v>
      </c>
      <c r="AQ77">
        <v>0</v>
      </c>
      <c r="AR77">
        <v>0</v>
      </c>
      <c r="AS77" t="s">
        <v>3</v>
      </c>
      <c r="AT77">
        <v>1.94</v>
      </c>
      <c r="AU77" t="s">
        <v>3</v>
      </c>
      <c r="AV77">
        <v>1</v>
      </c>
      <c r="AW77">
        <v>2</v>
      </c>
      <c r="AX77">
        <v>92408640</v>
      </c>
      <c r="AY77">
        <v>1</v>
      </c>
      <c r="AZ77">
        <v>0</v>
      </c>
      <c r="BA77">
        <v>77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U77">
        <f>ROUND(AT77*Source!I46*AH77*AL77,2)</f>
        <v>34.880000000000003</v>
      </c>
      <c r="CV77">
        <f>ROUND(Y77*Source!I46,9)</f>
        <v>3.88</v>
      </c>
      <c r="CW77">
        <v>0</v>
      </c>
      <c r="CX77">
        <f>ROUND(Y77*Source!I46,9)</f>
        <v>3.88</v>
      </c>
      <c r="CY77">
        <f>AD77</f>
        <v>8.99</v>
      </c>
      <c r="CZ77">
        <f>AH77</f>
        <v>8.99</v>
      </c>
      <c r="DA77">
        <f>AL77</f>
        <v>1</v>
      </c>
      <c r="DB77">
        <f t="shared" si="23"/>
        <v>17.440000000000001</v>
      </c>
      <c r="DC77">
        <f t="shared" si="24"/>
        <v>0</v>
      </c>
      <c r="DD77" t="s">
        <v>3</v>
      </c>
      <c r="DE77" t="s">
        <v>3</v>
      </c>
      <c r="DF77">
        <f>ROUND(ROUND(AE77,2)*CX77,2)</f>
        <v>0</v>
      </c>
      <c r="DG77">
        <f t="shared" si="27"/>
        <v>0</v>
      </c>
      <c r="DH77">
        <f t="shared" si="28"/>
        <v>0</v>
      </c>
      <c r="DI77">
        <f t="shared" si="25"/>
        <v>34.880000000000003</v>
      </c>
      <c r="DJ77">
        <f>DI77</f>
        <v>34.880000000000003</v>
      </c>
      <c r="DK77">
        <v>0</v>
      </c>
      <c r="DL77" t="s">
        <v>3</v>
      </c>
      <c r="DM77">
        <v>0</v>
      </c>
      <c r="DN77" t="s">
        <v>3</v>
      </c>
      <c r="DO77">
        <v>0</v>
      </c>
    </row>
    <row r="78" spans="1:119" x14ac:dyDescent="0.2">
      <c r="A78">
        <f>ROW(Source!A46)</f>
        <v>46</v>
      </c>
      <c r="B78">
        <v>92408302</v>
      </c>
      <c r="C78">
        <v>92408637</v>
      </c>
      <c r="D78">
        <v>23566809</v>
      </c>
      <c r="E78">
        <v>1</v>
      </c>
      <c r="F78">
        <v>1</v>
      </c>
      <c r="G78">
        <v>1</v>
      </c>
      <c r="H78">
        <v>1</v>
      </c>
      <c r="I78" t="s">
        <v>398</v>
      </c>
      <c r="J78" t="s">
        <v>3</v>
      </c>
      <c r="K78" t="s">
        <v>399</v>
      </c>
      <c r="L78">
        <v>1369</v>
      </c>
      <c r="N78">
        <v>1013</v>
      </c>
      <c r="O78" t="s">
        <v>325</v>
      </c>
      <c r="P78" t="s">
        <v>325</v>
      </c>
      <c r="Q78">
        <v>1</v>
      </c>
      <c r="W78">
        <v>0</v>
      </c>
      <c r="X78">
        <v>-1713304237</v>
      </c>
      <c r="Y78">
        <f t="shared" si="22"/>
        <v>2.92</v>
      </c>
      <c r="AA78">
        <v>0</v>
      </c>
      <c r="AB78">
        <v>0</v>
      </c>
      <c r="AC78">
        <v>0</v>
      </c>
      <c r="AD78">
        <v>11.86</v>
      </c>
      <c r="AE78">
        <v>0</v>
      </c>
      <c r="AF78">
        <v>0</v>
      </c>
      <c r="AG78">
        <v>0</v>
      </c>
      <c r="AH78">
        <v>11.86</v>
      </c>
      <c r="AI78">
        <v>1</v>
      </c>
      <c r="AJ78">
        <v>1</v>
      </c>
      <c r="AK78">
        <v>1</v>
      </c>
      <c r="AL78">
        <v>1</v>
      </c>
      <c r="AM78">
        <v>-2</v>
      </c>
      <c r="AN78">
        <v>0</v>
      </c>
      <c r="AO78">
        <v>1</v>
      </c>
      <c r="AP78">
        <v>1</v>
      </c>
      <c r="AQ78">
        <v>0</v>
      </c>
      <c r="AR78">
        <v>0</v>
      </c>
      <c r="AS78" t="s">
        <v>3</v>
      </c>
      <c r="AT78">
        <v>2.92</v>
      </c>
      <c r="AU78" t="s">
        <v>3</v>
      </c>
      <c r="AV78">
        <v>1</v>
      </c>
      <c r="AW78">
        <v>2</v>
      </c>
      <c r="AX78">
        <v>92408641</v>
      </c>
      <c r="AY78">
        <v>1</v>
      </c>
      <c r="AZ78">
        <v>0</v>
      </c>
      <c r="BA78">
        <v>78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U78">
        <f>ROUND(AT78*Source!I46*AH78*AL78,2)</f>
        <v>69.260000000000005</v>
      </c>
      <c r="CV78">
        <f>ROUND(Y78*Source!I46,9)</f>
        <v>5.84</v>
      </c>
      <c r="CW78">
        <v>0</v>
      </c>
      <c r="CX78">
        <f>ROUND(Y78*Source!I46,9)</f>
        <v>5.84</v>
      </c>
      <c r="CY78">
        <f>AD78</f>
        <v>11.86</v>
      </c>
      <c r="CZ78">
        <f>AH78</f>
        <v>11.86</v>
      </c>
      <c r="DA78">
        <f>AL78</f>
        <v>1</v>
      </c>
      <c r="DB78">
        <f t="shared" si="23"/>
        <v>34.630000000000003</v>
      </c>
      <c r="DC78">
        <f t="shared" si="24"/>
        <v>0</v>
      </c>
      <c r="DD78" t="s">
        <v>3</v>
      </c>
      <c r="DE78" t="s">
        <v>3</v>
      </c>
      <c r="DF78">
        <f>ROUND(ROUND(AE78,2)*CX78,2)</f>
        <v>0</v>
      </c>
      <c r="DG78">
        <f t="shared" si="27"/>
        <v>0</v>
      </c>
      <c r="DH78">
        <f t="shared" si="28"/>
        <v>0</v>
      </c>
      <c r="DI78">
        <f t="shared" si="25"/>
        <v>69.260000000000005</v>
      </c>
      <c r="DJ78">
        <f>DI78</f>
        <v>69.260000000000005</v>
      </c>
      <c r="DK78">
        <v>0</v>
      </c>
      <c r="DL78" t="s">
        <v>3</v>
      </c>
      <c r="DM78">
        <v>0</v>
      </c>
      <c r="DN78" t="s">
        <v>3</v>
      </c>
      <c r="DO78">
        <v>0</v>
      </c>
    </row>
    <row r="137" spans="9:9" x14ac:dyDescent="0.2">
      <c r="I137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8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ROW(Source!A24)</f>
        <v>24</v>
      </c>
      <c r="B1">
        <v>92408835</v>
      </c>
      <c r="C1">
        <v>92408833</v>
      </c>
      <c r="D1">
        <v>23129555</v>
      </c>
      <c r="E1">
        <v>1</v>
      </c>
      <c r="F1">
        <v>1</v>
      </c>
      <c r="G1">
        <v>1</v>
      </c>
      <c r="H1">
        <v>1</v>
      </c>
      <c r="I1" t="s">
        <v>323</v>
      </c>
      <c r="J1" t="s">
        <v>3</v>
      </c>
      <c r="K1" t="s">
        <v>324</v>
      </c>
      <c r="L1">
        <v>1369</v>
      </c>
      <c r="N1">
        <v>1013</v>
      </c>
      <c r="O1" t="s">
        <v>325</v>
      </c>
      <c r="P1" t="s">
        <v>325</v>
      </c>
      <c r="Q1">
        <v>1</v>
      </c>
      <c r="X1">
        <v>12.86</v>
      </c>
      <c r="Y1">
        <v>0</v>
      </c>
      <c r="Z1">
        <v>0</v>
      </c>
      <c r="AA1">
        <v>0</v>
      </c>
      <c r="AB1">
        <v>7.29</v>
      </c>
      <c r="AC1">
        <v>0</v>
      </c>
      <c r="AD1">
        <v>1</v>
      </c>
      <c r="AE1">
        <v>1</v>
      </c>
      <c r="AF1" t="s">
        <v>3</v>
      </c>
      <c r="AG1">
        <v>12.86</v>
      </c>
      <c r="AH1">
        <v>2</v>
      </c>
      <c r="AI1">
        <v>92408835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ROW(Source!A24)</f>
        <v>24</v>
      </c>
      <c r="B2">
        <v>92408836</v>
      </c>
      <c r="C2">
        <v>92408833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24</v>
      </c>
      <c r="J2" t="s">
        <v>3</v>
      </c>
      <c r="K2" t="s">
        <v>326</v>
      </c>
      <c r="L2">
        <v>608254</v>
      </c>
      <c r="N2">
        <v>1013</v>
      </c>
      <c r="O2" t="s">
        <v>327</v>
      </c>
      <c r="P2" t="s">
        <v>327</v>
      </c>
      <c r="Q2">
        <v>1</v>
      </c>
      <c r="X2">
        <v>58.76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3</v>
      </c>
      <c r="AG2">
        <v>58.76</v>
      </c>
      <c r="AH2">
        <v>2</v>
      </c>
      <c r="AI2">
        <v>92408836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ROW(Source!A24)</f>
        <v>24</v>
      </c>
      <c r="B3">
        <v>92408837</v>
      </c>
      <c r="C3">
        <v>92408833</v>
      </c>
      <c r="D3">
        <v>37802763</v>
      </c>
      <c r="E3">
        <v>1</v>
      </c>
      <c r="F3">
        <v>1</v>
      </c>
      <c r="G3">
        <v>1</v>
      </c>
      <c r="H3">
        <v>2</v>
      </c>
      <c r="I3" t="s">
        <v>328</v>
      </c>
      <c r="J3" t="s">
        <v>329</v>
      </c>
      <c r="K3" t="s">
        <v>330</v>
      </c>
      <c r="L3">
        <v>1368</v>
      </c>
      <c r="N3">
        <v>1011</v>
      </c>
      <c r="O3" t="s">
        <v>331</v>
      </c>
      <c r="P3" t="s">
        <v>331</v>
      </c>
      <c r="Q3">
        <v>1</v>
      </c>
      <c r="X3">
        <v>58.76</v>
      </c>
      <c r="Y3">
        <v>0</v>
      </c>
      <c r="Z3">
        <v>74</v>
      </c>
      <c r="AA3">
        <v>10.35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58.76</v>
      </c>
      <c r="AH3">
        <v>2</v>
      </c>
      <c r="AI3">
        <v>92408837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ROW(Source!A25)</f>
        <v>25</v>
      </c>
      <c r="B4">
        <v>92408368</v>
      </c>
      <c r="C4">
        <v>92408366</v>
      </c>
      <c r="D4">
        <v>23129555</v>
      </c>
      <c r="E4">
        <v>1</v>
      </c>
      <c r="F4">
        <v>1</v>
      </c>
      <c r="G4">
        <v>1</v>
      </c>
      <c r="H4">
        <v>1</v>
      </c>
      <c r="I4" t="s">
        <v>323</v>
      </c>
      <c r="J4" t="s">
        <v>3</v>
      </c>
      <c r="K4" t="s">
        <v>324</v>
      </c>
      <c r="L4">
        <v>1369</v>
      </c>
      <c r="N4">
        <v>1013</v>
      </c>
      <c r="O4" t="s">
        <v>325</v>
      </c>
      <c r="P4" t="s">
        <v>325</v>
      </c>
      <c r="Q4">
        <v>1</v>
      </c>
      <c r="X4">
        <v>154</v>
      </c>
      <c r="Y4">
        <v>0</v>
      </c>
      <c r="Z4">
        <v>0</v>
      </c>
      <c r="AA4">
        <v>0</v>
      </c>
      <c r="AB4">
        <v>7.29</v>
      </c>
      <c r="AC4">
        <v>0</v>
      </c>
      <c r="AD4">
        <v>1</v>
      </c>
      <c r="AE4">
        <v>1</v>
      </c>
      <c r="AF4" t="s">
        <v>3</v>
      </c>
      <c r="AG4">
        <v>154</v>
      </c>
      <c r="AH4">
        <v>2</v>
      </c>
      <c r="AI4">
        <v>92408367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ROW(Source!A26)</f>
        <v>26</v>
      </c>
      <c r="B5">
        <v>92408838</v>
      </c>
      <c r="C5">
        <v>92408834</v>
      </c>
      <c r="D5">
        <v>121548</v>
      </c>
      <c r="E5">
        <v>1</v>
      </c>
      <c r="F5">
        <v>1</v>
      </c>
      <c r="G5">
        <v>1</v>
      </c>
      <c r="H5">
        <v>1</v>
      </c>
      <c r="I5" t="s">
        <v>24</v>
      </c>
      <c r="J5" t="s">
        <v>3</v>
      </c>
      <c r="K5" t="s">
        <v>326</v>
      </c>
      <c r="L5">
        <v>608254</v>
      </c>
      <c r="N5">
        <v>1013</v>
      </c>
      <c r="O5" t="s">
        <v>327</v>
      </c>
      <c r="P5" t="s">
        <v>327</v>
      </c>
      <c r="Q5">
        <v>1</v>
      </c>
      <c r="X5">
        <v>8.8699999999999992</v>
      </c>
      <c r="Y5">
        <v>0</v>
      </c>
      <c r="Z5">
        <v>0</v>
      </c>
      <c r="AA5">
        <v>0</v>
      </c>
      <c r="AB5">
        <v>0</v>
      </c>
      <c r="AC5">
        <v>0</v>
      </c>
      <c r="AD5">
        <v>1</v>
      </c>
      <c r="AE5">
        <v>2</v>
      </c>
      <c r="AF5" t="s">
        <v>3</v>
      </c>
      <c r="AG5">
        <v>8.8699999999999992</v>
      </c>
      <c r="AH5">
        <v>2</v>
      </c>
      <c r="AI5">
        <v>92408838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ROW(Source!A26)</f>
        <v>26</v>
      </c>
      <c r="B6">
        <v>92408839</v>
      </c>
      <c r="C6">
        <v>92408834</v>
      </c>
      <c r="D6">
        <v>37802809</v>
      </c>
      <c r="E6">
        <v>1</v>
      </c>
      <c r="F6">
        <v>1</v>
      </c>
      <c r="G6">
        <v>1</v>
      </c>
      <c r="H6">
        <v>2</v>
      </c>
      <c r="I6" t="s">
        <v>332</v>
      </c>
      <c r="J6" t="s">
        <v>333</v>
      </c>
      <c r="K6" t="s">
        <v>334</v>
      </c>
      <c r="L6">
        <v>1368</v>
      </c>
      <c r="N6">
        <v>1011</v>
      </c>
      <c r="O6" t="s">
        <v>331</v>
      </c>
      <c r="P6" t="s">
        <v>331</v>
      </c>
      <c r="Q6">
        <v>1</v>
      </c>
      <c r="X6">
        <v>8.8699999999999992</v>
      </c>
      <c r="Y6">
        <v>0</v>
      </c>
      <c r="Z6">
        <v>102.49</v>
      </c>
      <c r="AA6">
        <v>10.35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8.8699999999999992</v>
      </c>
      <c r="AH6">
        <v>2</v>
      </c>
      <c r="AI6">
        <v>92408839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ROW(Source!A27)</f>
        <v>27</v>
      </c>
      <c r="B7">
        <v>92408371</v>
      </c>
      <c r="C7">
        <v>92408369</v>
      </c>
      <c r="D7">
        <v>23135960</v>
      </c>
      <c r="E7">
        <v>1</v>
      </c>
      <c r="F7">
        <v>1</v>
      </c>
      <c r="G7">
        <v>1</v>
      </c>
      <c r="H7">
        <v>1</v>
      </c>
      <c r="I7" t="s">
        <v>335</v>
      </c>
      <c r="J7" t="s">
        <v>3</v>
      </c>
      <c r="K7" t="s">
        <v>336</v>
      </c>
      <c r="L7">
        <v>1369</v>
      </c>
      <c r="N7">
        <v>1013</v>
      </c>
      <c r="O7" t="s">
        <v>325</v>
      </c>
      <c r="P7" t="s">
        <v>325</v>
      </c>
      <c r="Q7">
        <v>1</v>
      </c>
      <c r="X7">
        <v>97.2</v>
      </c>
      <c r="Y7">
        <v>0</v>
      </c>
      <c r="Z7">
        <v>0</v>
      </c>
      <c r="AA7">
        <v>0</v>
      </c>
      <c r="AB7">
        <v>7.01</v>
      </c>
      <c r="AC7">
        <v>0</v>
      </c>
      <c r="AD7">
        <v>1</v>
      </c>
      <c r="AE7">
        <v>1</v>
      </c>
      <c r="AF7" t="s">
        <v>3</v>
      </c>
      <c r="AG7">
        <v>97.2</v>
      </c>
      <c r="AH7">
        <v>2</v>
      </c>
      <c r="AI7">
        <v>92408370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ROW(Source!A28)</f>
        <v>28</v>
      </c>
      <c r="B8">
        <v>92408376</v>
      </c>
      <c r="C8">
        <v>92408372</v>
      </c>
      <c r="D8">
        <v>23351395</v>
      </c>
      <c r="E8">
        <v>1</v>
      </c>
      <c r="F8">
        <v>1</v>
      </c>
      <c r="G8">
        <v>1</v>
      </c>
      <c r="H8">
        <v>1</v>
      </c>
      <c r="I8" t="s">
        <v>337</v>
      </c>
      <c r="J8" t="s">
        <v>3</v>
      </c>
      <c r="K8" t="s">
        <v>338</v>
      </c>
      <c r="L8">
        <v>1369</v>
      </c>
      <c r="N8">
        <v>1013</v>
      </c>
      <c r="O8" t="s">
        <v>325</v>
      </c>
      <c r="P8" t="s">
        <v>325</v>
      </c>
      <c r="Q8">
        <v>1</v>
      </c>
      <c r="X8">
        <v>5.3</v>
      </c>
      <c r="Y8">
        <v>0</v>
      </c>
      <c r="Z8">
        <v>0</v>
      </c>
      <c r="AA8">
        <v>0</v>
      </c>
      <c r="AB8">
        <v>8.99</v>
      </c>
      <c r="AC8">
        <v>0</v>
      </c>
      <c r="AD8">
        <v>1</v>
      </c>
      <c r="AE8">
        <v>1</v>
      </c>
      <c r="AF8" t="s">
        <v>3</v>
      </c>
      <c r="AG8">
        <v>5.3</v>
      </c>
      <c r="AH8">
        <v>2</v>
      </c>
      <c r="AI8">
        <v>92408373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ROW(Source!A28)</f>
        <v>28</v>
      </c>
      <c r="B9">
        <v>92408377</v>
      </c>
      <c r="C9">
        <v>92408372</v>
      </c>
      <c r="D9">
        <v>37804456</v>
      </c>
      <c r="E9">
        <v>1</v>
      </c>
      <c r="F9">
        <v>1</v>
      </c>
      <c r="G9">
        <v>1</v>
      </c>
      <c r="H9">
        <v>2</v>
      </c>
      <c r="I9" t="s">
        <v>339</v>
      </c>
      <c r="J9" t="s">
        <v>340</v>
      </c>
      <c r="K9" t="s">
        <v>341</v>
      </c>
      <c r="L9">
        <v>1368</v>
      </c>
      <c r="N9">
        <v>1011</v>
      </c>
      <c r="O9" t="s">
        <v>331</v>
      </c>
      <c r="P9" t="s">
        <v>331</v>
      </c>
      <c r="Q9">
        <v>1</v>
      </c>
      <c r="X9">
        <v>3.9</v>
      </c>
      <c r="Y9">
        <v>0</v>
      </c>
      <c r="Z9">
        <v>91.76</v>
      </c>
      <c r="AA9">
        <v>10.35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3.9</v>
      </c>
      <c r="AH9">
        <v>2</v>
      </c>
      <c r="AI9">
        <v>92408374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ROW(Source!A28)</f>
        <v>28</v>
      </c>
      <c r="B10">
        <v>92408378</v>
      </c>
      <c r="C10">
        <v>92408372</v>
      </c>
      <c r="D10">
        <v>37801918</v>
      </c>
      <c r="E10">
        <v>1</v>
      </c>
      <c r="F10">
        <v>1</v>
      </c>
      <c r="G10">
        <v>1</v>
      </c>
      <c r="H10">
        <v>3</v>
      </c>
      <c r="I10" t="s">
        <v>100</v>
      </c>
      <c r="J10" t="s">
        <v>103</v>
      </c>
      <c r="K10" t="s">
        <v>101</v>
      </c>
      <c r="L10">
        <v>1374</v>
      </c>
      <c r="N10">
        <v>1013</v>
      </c>
      <c r="O10" t="s">
        <v>102</v>
      </c>
      <c r="P10" t="s">
        <v>102</v>
      </c>
      <c r="Q10">
        <v>1</v>
      </c>
      <c r="X10">
        <v>0.95</v>
      </c>
      <c r="Y10">
        <v>1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0.95</v>
      </c>
      <c r="AH10">
        <v>2</v>
      </c>
      <c r="AI10">
        <v>92408375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ROW(Source!A29)</f>
        <v>29</v>
      </c>
      <c r="B11">
        <v>92408383</v>
      </c>
      <c r="C11">
        <v>92408379</v>
      </c>
      <c r="D11">
        <v>23351395</v>
      </c>
      <c r="E11">
        <v>1</v>
      </c>
      <c r="F11">
        <v>1</v>
      </c>
      <c r="G11">
        <v>1</v>
      </c>
      <c r="H11">
        <v>1</v>
      </c>
      <c r="I11" t="s">
        <v>337</v>
      </c>
      <c r="J11" t="s">
        <v>3</v>
      </c>
      <c r="K11" t="s">
        <v>338</v>
      </c>
      <c r="L11">
        <v>1369</v>
      </c>
      <c r="N11">
        <v>1013</v>
      </c>
      <c r="O11" t="s">
        <v>325</v>
      </c>
      <c r="P11" t="s">
        <v>325</v>
      </c>
      <c r="Q11">
        <v>1</v>
      </c>
      <c r="X11">
        <v>1.99</v>
      </c>
      <c r="Y11">
        <v>0</v>
      </c>
      <c r="Z11">
        <v>0</v>
      </c>
      <c r="AA11">
        <v>0</v>
      </c>
      <c r="AB11">
        <v>8.99</v>
      </c>
      <c r="AC11">
        <v>0</v>
      </c>
      <c r="AD11">
        <v>1</v>
      </c>
      <c r="AE11">
        <v>1</v>
      </c>
      <c r="AF11" t="s">
        <v>3</v>
      </c>
      <c r="AG11">
        <v>1.99</v>
      </c>
      <c r="AH11">
        <v>2</v>
      </c>
      <c r="AI11">
        <v>92408380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ROW(Source!A29)</f>
        <v>29</v>
      </c>
      <c r="B12">
        <v>92408384</v>
      </c>
      <c r="C12">
        <v>92408379</v>
      </c>
      <c r="D12">
        <v>37804456</v>
      </c>
      <c r="E12">
        <v>1</v>
      </c>
      <c r="F12">
        <v>1</v>
      </c>
      <c r="G12">
        <v>1</v>
      </c>
      <c r="H12">
        <v>2</v>
      </c>
      <c r="I12" t="s">
        <v>339</v>
      </c>
      <c r="J12" t="s">
        <v>340</v>
      </c>
      <c r="K12" t="s">
        <v>341</v>
      </c>
      <c r="L12">
        <v>1368</v>
      </c>
      <c r="N12">
        <v>1011</v>
      </c>
      <c r="O12" t="s">
        <v>331</v>
      </c>
      <c r="P12" t="s">
        <v>331</v>
      </c>
      <c r="Q12">
        <v>1</v>
      </c>
      <c r="X12">
        <v>0.08</v>
      </c>
      <c r="Y12">
        <v>0</v>
      </c>
      <c r="Z12">
        <v>91.76</v>
      </c>
      <c r="AA12">
        <v>10.35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0.08</v>
      </c>
      <c r="AH12">
        <v>2</v>
      </c>
      <c r="AI12">
        <v>92408381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ROW(Source!A29)</f>
        <v>29</v>
      </c>
      <c r="B13">
        <v>92408385</v>
      </c>
      <c r="C13">
        <v>92408379</v>
      </c>
      <c r="D13">
        <v>37801918</v>
      </c>
      <c r="E13">
        <v>1</v>
      </c>
      <c r="F13">
        <v>1</v>
      </c>
      <c r="G13">
        <v>1</v>
      </c>
      <c r="H13">
        <v>3</v>
      </c>
      <c r="I13" t="s">
        <v>100</v>
      </c>
      <c r="J13" t="s">
        <v>103</v>
      </c>
      <c r="K13" t="s">
        <v>101</v>
      </c>
      <c r="L13">
        <v>1374</v>
      </c>
      <c r="N13">
        <v>1013</v>
      </c>
      <c r="O13" t="s">
        <v>102</v>
      </c>
      <c r="P13" t="s">
        <v>102</v>
      </c>
      <c r="Q13">
        <v>1</v>
      </c>
      <c r="X13">
        <v>0.36</v>
      </c>
      <c r="Y13">
        <v>1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0.36</v>
      </c>
      <c r="AH13">
        <v>2</v>
      </c>
      <c r="AI13">
        <v>92408382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ROW(Source!A30)</f>
        <v>30</v>
      </c>
      <c r="B14">
        <v>92408453</v>
      </c>
      <c r="C14">
        <v>92408442</v>
      </c>
      <c r="D14">
        <v>23351395</v>
      </c>
      <c r="E14">
        <v>1</v>
      </c>
      <c r="F14">
        <v>1</v>
      </c>
      <c r="G14">
        <v>1</v>
      </c>
      <c r="H14">
        <v>1</v>
      </c>
      <c r="I14" t="s">
        <v>337</v>
      </c>
      <c r="J14" t="s">
        <v>3</v>
      </c>
      <c r="K14" t="s">
        <v>338</v>
      </c>
      <c r="L14">
        <v>1369</v>
      </c>
      <c r="N14">
        <v>1013</v>
      </c>
      <c r="O14" t="s">
        <v>325</v>
      </c>
      <c r="P14" t="s">
        <v>325</v>
      </c>
      <c r="Q14">
        <v>1</v>
      </c>
      <c r="X14">
        <v>23.04</v>
      </c>
      <c r="Y14">
        <v>0</v>
      </c>
      <c r="Z14">
        <v>0</v>
      </c>
      <c r="AA14">
        <v>0</v>
      </c>
      <c r="AB14">
        <v>8.99</v>
      </c>
      <c r="AC14">
        <v>0</v>
      </c>
      <c r="AD14">
        <v>1</v>
      </c>
      <c r="AE14">
        <v>1</v>
      </c>
      <c r="AF14" t="s">
        <v>3</v>
      </c>
      <c r="AG14">
        <v>23.04</v>
      </c>
      <c r="AH14">
        <v>2</v>
      </c>
      <c r="AI14">
        <v>92408443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ROW(Source!A30)</f>
        <v>30</v>
      </c>
      <c r="B15">
        <v>92408454</v>
      </c>
      <c r="C15">
        <v>92408442</v>
      </c>
      <c r="D15">
        <v>121548</v>
      </c>
      <c r="E15">
        <v>1</v>
      </c>
      <c r="F15">
        <v>1</v>
      </c>
      <c r="G15">
        <v>1</v>
      </c>
      <c r="H15">
        <v>1</v>
      </c>
      <c r="I15" t="s">
        <v>24</v>
      </c>
      <c r="J15" t="s">
        <v>3</v>
      </c>
      <c r="K15" t="s">
        <v>326</v>
      </c>
      <c r="L15">
        <v>608254</v>
      </c>
      <c r="N15">
        <v>1013</v>
      </c>
      <c r="O15" t="s">
        <v>327</v>
      </c>
      <c r="P15" t="s">
        <v>327</v>
      </c>
      <c r="Q15">
        <v>1</v>
      </c>
      <c r="X15">
        <v>0.2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2</v>
      </c>
      <c r="AF15" t="s">
        <v>3</v>
      </c>
      <c r="AG15">
        <v>0.2</v>
      </c>
      <c r="AH15">
        <v>2</v>
      </c>
      <c r="AI15">
        <v>92408444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ROW(Source!A30)</f>
        <v>30</v>
      </c>
      <c r="B16">
        <v>92408455</v>
      </c>
      <c r="C16">
        <v>92408442</v>
      </c>
      <c r="D16">
        <v>37802432</v>
      </c>
      <c r="E16">
        <v>1</v>
      </c>
      <c r="F16">
        <v>1</v>
      </c>
      <c r="G16">
        <v>1</v>
      </c>
      <c r="H16">
        <v>2</v>
      </c>
      <c r="I16" t="s">
        <v>342</v>
      </c>
      <c r="J16" t="s">
        <v>343</v>
      </c>
      <c r="K16" t="s">
        <v>344</v>
      </c>
      <c r="L16">
        <v>1368</v>
      </c>
      <c r="N16">
        <v>1011</v>
      </c>
      <c r="O16" t="s">
        <v>331</v>
      </c>
      <c r="P16" t="s">
        <v>331</v>
      </c>
      <c r="Q16">
        <v>1</v>
      </c>
      <c r="X16">
        <v>0.2</v>
      </c>
      <c r="Y16">
        <v>0</v>
      </c>
      <c r="Z16">
        <v>138.54</v>
      </c>
      <c r="AA16">
        <v>12.1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0.2</v>
      </c>
      <c r="AH16">
        <v>2</v>
      </c>
      <c r="AI16">
        <v>92408445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ROW(Source!A30)</f>
        <v>30</v>
      </c>
      <c r="B17">
        <v>92408456</v>
      </c>
      <c r="C17">
        <v>92408442</v>
      </c>
      <c r="D17">
        <v>37802530</v>
      </c>
      <c r="E17">
        <v>1</v>
      </c>
      <c r="F17">
        <v>1</v>
      </c>
      <c r="G17">
        <v>1</v>
      </c>
      <c r="H17">
        <v>2</v>
      </c>
      <c r="I17" t="s">
        <v>345</v>
      </c>
      <c r="J17" t="s">
        <v>346</v>
      </c>
      <c r="K17" t="s">
        <v>347</v>
      </c>
      <c r="L17">
        <v>1368</v>
      </c>
      <c r="N17">
        <v>1011</v>
      </c>
      <c r="O17" t="s">
        <v>331</v>
      </c>
      <c r="P17" t="s">
        <v>331</v>
      </c>
      <c r="Q17">
        <v>1</v>
      </c>
      <c r="X17">
        <v>5.14</v>
      </c>
      <c r="Y17">
        <v>0</v>
      </c>
      <c r="Z17">
        <v>1.52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5.14</v>
      </c>
      <c r="AH17">
        <v>2</v>
      </c>
      <c r="AI17">
        <v>92408446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ROW(Source!A30)</f>
        <v>30</v>
      </c>
      <c r="B18">
        <v>92408457</v>
      </c>
      <c r="C18">
        <v>92408442</v>
      </c>
      <c r="D18">
        <v>37802544</v>
      </c>
      <c r="E18">
        <v>1</v>
      </c>
      <c r="F18">
        <v>1</v>
      </c>
      <c r="G18">
        <v>1</v>
      </c>
      <c r="H18">
        <v>2</v>
      </c>
      <c r="I18" t="s">
        <v>348</v>
      </c>
      <c r="J18" t="s">
        <v>349</v>
      </c>
      <c r="K18" t="s">
        <v>350</v>
      </c>
      <c r="L18">
        <v>1368</v>
      </c>
      <c r="N18">
        <v>1011</v>
      </c>
      <c r="O18" t="s">
        <v>331</v>
      </c>
      <c r="P18" t="s">
        <v>331</v>
      </c>
      <c r="Q18">
        <v>1</v>
      </c>
      <c r="X18">
        <v>5.14</v>
      </c>
      <c r="Y18">
        <v>0</v>
      </c>
      <c r="Z18">
        <v>7.11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5.14</v>
      </c>
      <c r="AH18">
        <v>2</v>
      </c>
      <c r="AI18">
        <v>92408447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ROW(Source!A30)</f>
        <v>30</v>
      </c>
      <c r="B19">
        <v>92408458</v>
      </c>
      <c r="C19">
        <v>92408442</v>
      </c>
      <c r="D19">
        <v>37804456</v>
      </c>
      <c r="E19">
        <v>1</v>
      </c>
      <c r="F19">
        <v>1</v>
      </c>
      <c r="G19">
        <v>1</v>
      </c>
      <c r="H19">
        <v>2</v>
      </c>
      <c r="I19" t="s">
        <v>339</v>
      </c>
      <c r="J19" t="s">
        <v>340</v>
      </c>
      <c r="K19" t="s">
        <v>341</v>
      </c>
      <c r="L19">
        <v>1368</v>
      </c>
      <c r="N19">
        <v>1011</v>
      </c>
      <c r="O19" t="s">
        <v>331</v>
      </c>
      <c r="P19" t="s">
        <v>331</v>
      </c>
      <c r="Q19">
        <v>1</v>
      </c>
      <c r="X19">
        <v>0.2</v>
      </c>
      <c r="Y19">
        <v>0</v>
      </c>
      <c r="Z19">
        <v>91.76</v>
      </c>
      <c r="AA19">
        <v>10.35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0.2</v>
      </c>
      <c r="AH19">
        <v>2</v>
      </c>
      <c r="AI19">
        <v>92408448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ROW(Source!A30)</f>
        <v>30</v>
      </c>
      <c r="B20">
        <v>92408459</v>
      </c>
      <c r="C20">
        <v>92408442</v>
      </c>
      <c r="D20">
        <v>37733003</v>
      </c>
      <c r="E20">
        <v>1</v>
      </c>
      <c r="F20">
        <v>1</v>
      </c>
      <c r="G20">
        <v>1</v>
      </c>
      <c r="H20">
        <v>3</v>
      </c>
      <c r="I20" t="s">
        <v>351</v>
      </c>
      <c r="J20" t="s">
        <v>352</v>
      </c>
      <c r="K20" t="s">
        <v>353</v>
      </c>
      <c r="L20">
        <v>1308</v>
      </c>
      <c r="N20">
        <v>1003</v>
      </c>
      <c r="O20" t="s">
        <v>66</v>
      </c>
      <c r="P20" t="s">
        <v>66</v>
      </c>
      <c r="Q20">
        <v>100</v>
      </c>
      <c r="X20">
        <v>9.5999999999999992E-3</v>
      </c>
      <c r="Y20">
        <v>121.8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9.5999999999999992E-3</v>
      </c>
      <c r="AH20">
        <v>2</v>
      </c>
      <c r="AI20">
        <v>92408449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ROW(Source!A30)</f>
        <v>30</v>
      </c>
      <c r="B21">
        <v>92408460</v>
      </c>
      <c r="C21">
        <v>92408442</v>
      </c>
      <c r="D21">
        <v>37745017</v>
      </c>
      <c r="E21">
        <v>1</v>
      </c>
      <c r="F21">
        <v>1</v>
      </c>
      <c r="G21">
        <v>1</v>
      </c>
      <c r="H21">
        <v>3</v>
      </c>
      <c r="I21" t="s">
        <v>354</v>
      </c>
      <c r="J21" t="s">
        <v>355</v>
      </c>
      <c r="K21" t="s">
        <v>356</v>
      </c>
      <c r="L21">
        <v>1348</v>
      </c>
      <c r="N21">
        <v>1009</v>
      </c>
      <c r="O21" t="s">
        <v>97</v>
      </c>
      <c r="P21" t="s">
        <v>97</v>
      </c>
      <c r="Q21">
        <v>1000</v>
      </c>
      <c r="X21">
        <v>6.0000000000000002E-5</v>
      </c>
      <c r="Y21">
        <v>9528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6.0000000000000002E-5</v>
      </c>
      <c r="AH21">
        <v>2</v>
      </c>
      <c r="AI21">
        <v>92408450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ROW(Source!A30)</f>
        <v>30</v>
      </c>
      <c r="B22">
        <v>92408461</v>
      </c>
      <c r="C22">
        <v>92408442</v>
      </c>
      <c r="D22">
        <v>37785796</v>
      </c>
      <c r="E22">
        <v>1</v>
      </c>
      <c r="F22">
        <v>1</v>
      </c>
      <c r="G22">
        <v>1</v>
      </c>
      <c r="H22">
        <v>3</v>
      </c>
      <c r="I22" t="s">
        <v>59</v>
      </c>
      <c r="J22" t="s">
        <v>62</v>
      </c>
      <c r="K22" t="s">
        <v>60</v>
      </c>
      <c r="L22">
        <v>1346</v>
      </c>
      <c r="N22">
        <v>1009</v>
      </c>
      <c r="O22" t="s">
        <v>61</v>
      </c>
      <c r="P22" t="s">
        <v>61</v>
      </c>
      <c r="Q22">
        <v>1</v>
      </c>
      <c r="X22">
        <v>0.5</v>
      </c>
      <c r="Y22">
        <v>71.45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0.5</v>
      </c>
      <c r="AH22">
        <v>2</v>
      </c>
      <c r="AI22">
        <v>92408451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ROW(Source!A30)</f>
        <v>30</v>
      </c>
      <c r="B23">
        <v>92408462</v>
      </c>
      <c r="C23">
        <v>92408442</v>
      </c>
      <c r="D23">
        <v>37801918</v>
      </c>
      <c r="E23">
        <v>1</v>
      </c>
      <c r="F23">
        <v>1</v>
      </c>
      <c r="G23">
        <v>1</v>
      </c>
      <c r="H23">
        <v>3</v>
      </c>
      <c r="I23" t="s">
        <v>100</v>
      </c>
      <c r="J23" t="s">
        <v>103</v>
      </c>
      <c r="K23" t="s">
        <v>101</v>
      </c>
      <c r="L23">
        <v>1374</v>
      </c>
      <c r="N23">
        <v>1013</v>
      </c>
      <c r="O23" t="s">
        <v>102</v>
      </c>
      <c r="P23" t="s">
        <v>102</v>
      </c>
      <c r="Q23">
        <v>1</v>
      </c>
      <c r="X23">
        <v>4.1399999999999997</v>
      </c>
      <c r="Y23">
        <v>1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4.1399999999999997</v>
      </c>
      <c r="AH23">
        <v>2</v>
      </c>
      <c r="AI23">
        <v>92408452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ROW(Source!A32)</f>
        <v>32</v>
      </c>
      <c r="B24">
        <v>92408793</v>
      </c>
      <c r="C24">
        <v>92408786</v>
      </c>
      <c r="D24">
        <v>23351341</v>
      </c>
      <c r="E24">
        <v>1</v>
      </c>
      <c r="F24">
        <v>1</v>
      </c>
      <c r="G24">
        <v>1</v>
      </c>
      <c r="H24">
        <v>1</v>
      </c>
      <c r="I24" t="s">
        <v>357</v>
      </c>
      <c r="J24" t="s">
        <v>3</v>
      </c>
      <c r="K24" t="s">
        <v>358</v>
      </c>
      <c r="L24">
        <v>1369</v>
      </c>
      <c r="N24">
        <v>1013</v>
      </c>
      <c r="O24" t="s">
        <v>325</v>
      </c>
      <c r="P24" t="s">
        <v>325</v>
      </c>
      <c r="Q24">
        <v>1</v>
      </c>
      <c r="X24">
        <v>23.52</v>
      </c>
      <c r="Y24">
        <v>0</v>
      </c>
      <c r="Z24">
        <v>0</v>
      </c>
      <c r="AA24">
        <v>0</v>
      </c>
      <c r="AB24">
        <v>8.7899999999999991</v>
      </c>
      <c r="AC24">
        <v>0</v>
      </c>
      <c r="AD24">
        <v>1</v>
      </c>
      <c r="AE24">
        <v>1</v>
      </c>
      <c r="AF24" t="s">
        <v>3</v>
      </c>
      <c r="AG24">
        <v>23.52</v>
      </c>
      <c r="AH24">
        <v>2</v>
      </c>
      <c r="AI24">
        <v>92408793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ROW(Source!A32)</f>
        <v>32</v>
      </c>
      <c r="B25">
        <v>92408794</v>
      </c>
      <c r="C25">
        <v>92408786</v>
      </c>
      <c r="D25">
        <v>121548</v>
      </c>
      <c r="E25">
        <v>1</v>
      </c>
      <c r="F25">
        <v>1</v>
      </c>
      <c r="G25">
        <v>1</v>
      </c>
      <c r="H25">
        <v>1</v>
      </c>
      <c r="I25" t="s">
        <v>24</v>
      </c>
      <c r="J25" t="s">
        <v>3</v>
      </c>
      <c r="K25" t="s">
        <v>326</v>
      </c>
      <c r="L25">
        <v>608254</v>
      </c>
      <c r="N25">
        <v>1013</v>
      </c>
      <c r="O25" t="s">
        <v>327</v>
      </c>
      <c r="P25" t="s">
        <v>327</v>
      </c>
      <c r="Q25">
        <v>1</v>
      </c>
      <c r="X25">
        <v>0.1</v>
      </c>
      <c r="Y25">
        <v>0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2</v>
      </c>
      <c r="AF25" t="s">
        <v>3</v>
      </c>
      <c r="AG25">
        <v>0.1</v>
      </c>
      <c r="AH25">
        <v>2</v>
      </c>
      <c r="AI25">
        <v>92408794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ROW(Source!A32)</f>
        <v>32</v>
      </c>
      <c r="B26">
        <v>92408795</v>
      </c>
      <c r="C26">
        <v>92408786</v>
      </c>
      <c r="D26">
        <v>37802432</v>
      </c>
      <c r="E26">
        <v>1</v>
      </c>
      <c r="F26">
        <v>1</v>
      </c>
      <c r="G26">
        <v>1</v>
      </c>
      <c r="H26">
        <v>2</v>
      </c>
      <c r="I26" t="s">
        <v>342</v>
      </c>
      <c r="J26" t="s">
        <v>343</v>
      </c>
      <c r="K26" t="s">
        <v>344</v>
      </c>
      <c r="L26">
        <v>1368</v>
      </c>
      <c r="N26">
        <v>1011</v>
      </c>
      <c r="O26" t="s">
        <v>331</v>
      </c>
      <c r="P26" t="s">
        <v>331</v>
      </c>
      <c r="Q26">
        <v>1</v>
      </c>
      <c r="X26">
        <v>0.1</v>
      </c>
      <c r="Y26">
        <v>0</v>
      </c>
      <c r="Z26">
        <v>138.54</v>
      </c>
      <c r="AA26">
        <v>12.1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0.1</v>
      </c>
      <c r="AH26">
        <v>2</v>
      </c>
      <c r="AI26">
        <v>92408795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ROW(Source!A32)</f>
        <v>32</v>
      </c>
      <c r="B27">
        <v>92408796</v>
      </c>
      <c r="C27">
        <v>92408786</v>
      </c>
      <c r="D27">
        <v>37802657</v>
      </c>
      <c r="E27">
        <v>1</v>
      </c>
      <c r="F27">
        <v>1</v>
      </c>
      <c r="G27">
        <v>1</v>
      </c>
      <c r="H27">
        <v>2</v>
      </c>
      <c r="I27" t="s">
        <v>359</v>
      </c>
      <c r="J27" t="s">
        <v>360</v>
      </c>
      <c r="K27" t="s">
        <v>361</v>
      </c>
      <c r="L27">
        <v>1368</v>
      </c>
      <c r="N27">
        <v>1011</v>
      </c>
      <c r="O27" t="s">
        <v>331</v>
      </c>
      <c r="P27" t="s">
        <v>331</v>
      </c>
      <c r="Q27">
        <v>1</v>
      </c>
      <c r="X27">
        <v>1.73</v>
      </c>
      <c r="Y27">
        <v>0</v>
      </c>
      <c r="Z27">
        <v>7.55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1.73</v>
      </c>
      <c r="AH27">
        <v>2</v>
      </c>
      <c r="AI27">
        <v>92408796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ROW(Source!A32)</f>
        <v>32</v>
      </c>
      <c r="B28">
        <v>92408797</v>
      </c>
      <c r="C28">
        <v>92408786</v>
      </c>
      <c r="D28">
        <v>37804456</v>
      </c>
      <c r="E28">
        <v>1</v>
      </c>
      <c r="F28">
        <v>1</v>
      </c>
      <c r="G28">
        <v>1</v>
      </c>
      <c r="H28">
        <v>2</v>
      </c>
      <c r="I28" t="s">
        <v>339</v>
      </c>
      <c r="J28" t="s">
        <v>340</v>
      </c>
      <c r="K28" t="s">
        <v>341</v>
      </c>
      <c r="L28">
        <v>1368</v>
      </c>
      <c r="N28">
        <v>1011</v>
      </c>
      <c r="O28" t="s">
        <v>331</v>
      </c>
      <c r="P28" t="s">
        <v>331</v>
      </c>
      <c r="Q28">
        <v>1</v>
      </c>
      <c r="X28">
        <v>0.1</v>
      </c>
      <c r="Y28">
        <v>0</v>
      </c>
      <c r="Z28">
        <v>91.76</v>
      </c>
      <c r="AA28">
        <v>10.35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0.1</v>
      </c>
      <c r="AH28">
        <v>2</v>
      </c>
      <c r="AI28">
        <v>92408797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ROW(Source!A32)</f>
        <v>32</v>
      </c>
      <c r="B29">
        <v>92408798</v>
      </c>
      <c r="C29">
        <v>92408786</v>
      </c>
      <c r="D29">
        <v>37736610</v>
      </c>
      <c r="E29">
        <v>1</v>
      </c>
      <c r="F29">
        <v>1</v>
      </c>
      <c r="G29">
        <v>1</v>
      </c>
      <c r="H29">
        <v>3</v>
      </c>
      <c r="I29" t="s">
        <v>69</v>
      </c>
      <c r="J29" t="s">
        <v>71</v>
      </c>
      <c r="K29" t="s">
        <v>70</v>
      </c>
      <c r="L29">
        <v>1346</v>
      </c>
      <c r="N29">
        <v>1009</v>
      </c>
      <c r="O29" t="s">
        <v>61</v>
      </c>
      <c r="P29" t="s">
        <v>61</v>
      </c>
      <c r="Q29">
        <v>1</v>
      </c>
      <c r="X29">
        <v>6.84</v>
      </c>
      <c r="Y29">
        <v>12.65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6.84</v>
      </c>
      <c r="AH29">
        <v>2</v>
      </c>
      <c r="AI29">
        <v>92408798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ROW(Source!A32)</f>
        <v>32</v>
      </c>
      <c r="B30">
        <v>92408799</v>
      </c>
      <c r="C30">
        <v>92408786</v>
      </c>
      <c r="D30">
        <v>37737061</v>
      </c>
      <c r="E30">
        <v>1</v>
      </c>
      <c r="F30">
        <v>1</v>
      </c>
      <c r="G30">
        <v>1</v>
      </c>
      <c r="H30">
        <v>3</v>
      </c>
      <c r="I30" t="s">
        <v>362</v>
      </c>
      <c r="J30" t="s">
        <v>363</v>
      </c>
      <c r="K30" t="s">
        <v>364</v>
      </c>
      <c r="L30">
        <v>1355</v>
      </c>
      <c r="N30">
        <v>1010</v>
      </c>
      <c r="O30" t="s">
        <v>116</v>
      </c>
      <c r="P30" t="s">
        <v>116</v>
      </c>
      <c r="Q30">
        <v>100</v>
      </c>
      <c r="X30">
        <v>0.4</v>
      </c>
      <c r="Y30">
        <v>87.29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0.4</v>
      </c>
      <c r="AH30">
        <v>2</v>
      </c>
      <c r="AI30">
        <v>92408799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ROW(Source!A32)</f>
        <v>32</v>
      </c>
      <c r="B31">
        <v>92408800</v>
      </c>
      <c r="C31">
        <v>92408786</v>
      </c>
      <c r="D31">
        <v>37737326</v>
      </c>
      <c r="E31">
        <v>1</v>
      </c>
      <c r="F31">
        <v>1</v>
      </c>
      <c r="G31">
        <v>1</v>
      </c>
      <c r="H31">
        <v>3</v>
      </c>
      <c r="I31" t="s">
        <v>365</v>
      </c>
      <c r="J31" t="s">
        <v>366</v>
      </c>
      <c r="K31" t="s">
        <v>367</v>
      </c>
      <c r="L31">
        <v>1354</v>
      </c>
      <c r="N31">
        <v>1010</v>
      </c>
      <c r="O31" t="s">
        <v>368</v>
      </c>
      <c r="P31" t="s">
        <v>368</v>
      </c>
      <c r="Q31">
        <v>1</v>
      </c>
      <c r="X31">
        <v>40</v>
      </c>
      <c r="Y31">
        <v>7.0000000000000007E-2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40</v>
      </c>
      <c r="AH31">
        <v>2</v>
      </c>
      <c r="AI31">
        <v>92408800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ROW(Source!A32)</f>
        <v>32</v>
      </c>
      <c r="B32">
        <v>92408801</v>
      </c>
      <c r="C32">
        <v>92408786</v>
      </c>
      <c r="D32">
        <v>37801918</v>
      </c>
      <c r="E32">
        <v>1</v>
      </c>
      <c r="F32">
        <v>1</v>
      </c>
      <c r="G32">
        <v>1</v>
      </c>
      <c r="H32">
        <v>3</v>
      </c>
      <c r="I32" t="s">
        <v>100</v>
      </c>
      <c r="J32" t="s">
        <v>103</v>
      </c>
      <c r="K32" t="s">
        <v>101</v>
      </c>
      <c r="L32">
        <v>1374</v>
      </c>
      <c r="N32">
        <v>1013</v>
      </c>
      <c r="O32" t="s">
        <v>102</v>
      </c>
      <c r="P32" t="s">
        <v>102</v>
      </c>
      <c r="Q32">
        <v>1</v>
      </c>
      <c r="X32">
        <v>4.13</v>
      </c>
      <c r="Y32">
        <v>1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4.13</v>
      </c>
      <c r="AH32">
        <v>2</v>
      </c>
      <c r="AI32">
        <v>92408801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ROW(Source!A34)</f>
        <v>34</v>
      </c>
      <c r="B33">
        <v>92408475</v>
      </c>
      <c r="C33">
        <v>92408463</v>
      </c>
      <c r="D33">
        <v>23351395</v>
      </c>
      <c r="E33">
        <v>1</v>
      </c>
      <c r="F33">
        <v>1</v>
      </c>
      <c r="G33">
        <v>1</v>
      </c>
      <c r="H33">
        <v>1</v>
      </c>
      <c r="I33" t="s">
        <v>337</v>
      </c>
      <c r="J33" t="s">
        <v>3</v>
      </c>
      <c r="K33" t="s">
        <v>338</v>
      </c>
      <c r="L33">
        <v>1369</v>
      </c>
      <c r="N33">
        <v>1013</v>
      </c>
      <c r="O33" t="s">
        <v>325</v>
      </c>
      <c r="P33" t="s">
        <v>325</v>
      </c>
      <c r="Q33">
        <v>1</v>
      </c>
      <c r="X33">
        <v>20.239999999999998</v>
      </c>
      <c r="Y33">
        <v>0</v>
      </c>
      <c r="Z33">
        <v>0</v>
      </c>
      <c r="AA33">
        <v>0</v>
      </c>
      <c r="AB33">
        <v>8.99</v>
      </c>
      <c r="AC33">
        <v>0</v>
      </c>
      <c r="AD33">
        <v>1</v>
      </c>
      <c r="AE33">
        <v>1</v>
      </c>
      <c r="AF33" t="s">
        <v>3</v>
      </c>
      <c r="AG33">
        <v>20.239999999999998</v>
      </c>
      <c r="AH33">
        <v>2</v>
      </c>
      <c r="AI33">
        <v>92408464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ROW(Source!A34)</f>
        <v>34</v>
      </c>
      <c r="B34">
        <v>92408476</v>
      </c>
      <c r="C34">
        <v>92408463</v>
      </c>
      <c r="D34">
        <v>121548</v>
      </c>
      <c r="E34">
        <v>1</v>
      </c>
      <c r="F34">
        <v>1</v>
      </c>
      <c r="G34">
        <v>1</v>
      </c>
      <c r="H34">
        <v>1</v>
      </c>
      <c r="I34" t="s">
        <v>24</v>
      </c>
      <c r="J34" t="s">
        <v>3</v>
      </c>
      <c r="K34" t="s">
        <v>326</v>
      </c>
      <c r="L34">
        <v>608254</v>
      </c>
      <c r="N34">
        <v>1013</v>
      </c>
      <c r="O34" t="s">
        <v>327</v>
      </c>
      <c r="P34" t="s">
        <v>327</v>
      </c>
      <c r="Q34">
        <v>1</v>
      </c>
      <c r="X34">
        <v>0.2</v>
      </c>
      <c r="Y34">
        <v>0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2</v>
      </c>
      <c r="AF34" t="s">
        <v>3</v>
      </c>
      <c r="AG34">
        <v>0.2</v>
      </c>
      <c r="AH34">
        <v>2</v>
      </c>
      <c r="AI34">
        <v>92408465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ROW(Source!A34)</f>
        <v>34</v>
      </c>
      <c r="B35">
        <v>92408477</v>
      </c>
      <c r="C35">
        <v>92408463</v>
      </c>
      <c r="D35">
        <v>37802432</v>
      </c>
      <c r="E35">
        <v>1</v>
      </c>
      <c r="F35">
        <v>1</v>
      </c>
      <c r="G35">
        <v>1</v>
      </c>
      <c r="H35">
        <v>2</v>
      </c>
      <c r="I35" t="s">
        <v>342</v>
      </c>
      <c r="J35" t="s">
        <v>343</v>
      </c>
      <c r="K35" t="s">
        <v>344</v>
      </c>
      <c r="L35">
        <v>1368</v>
      </c>
      <c r="N35">
        <v>1011</v>
      </c>
      <c r="O35" t="s">
        <v>331</v>
      </c>
      <c r="P35" t="s">
        <v>331</v>
      </c>
      <c r="Q35">
        <v>1</v>
      </c>
      <c r="X35">
        <v>0.2</v>
      </c>
      <c r="Y35">
        <v>0</v>
      </c>
      <c r="Z35">
        <v>138.54</v>
      </c>
      <c r="AA35">
        <v>12.1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0.2</v>
      </c>
      <c r="AH35">
        <v>2</v>
      </c>
      <c r="AI35">
        <v>92408466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ROW(Source!A34)</f>
        <v>34</v>
      </c>
      <c r="B36">
        <v>92408478</v>
      </c>
      <c r="C36">
        <v>92408463</v>
      </c>
      <c r="D36">
        <v>37802530</v>
      </c>
      <c r="E36">
        <v>1</v>
      </c>
      <c r="F36">
        <v>1</v>
      </c>
      <c r="G36">
        <v>1</v>
      </c>
      <c r="H36">
        <v>2</v>
      </c>
      <c r="I36" t="s">
        <v>345</v>
      </c>
      <c r="J36" t="s">
        <v>346</v>
      </c>
      <c r="K36" t="s">
        <v>347</v>
      </c>
      <c r="L36">
        <v>1368</v>
      </c>
      <c r="N36">
        <v>1011</v>
      </c>
      <c r="O36" t="s">
        <v>331</v>
      </c>
      <c r="P36" t="s">
        <v>331</v>
      </c>
      <c r="Q36">
        <v>1</v>
      </c>
      <c r="X36">
        <v>4.67</v>
      </c>
      <c r="Y36">
        <v>0</v>
      </c>
      <c r="Z36">
        <v>1.52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4.67</v>
      </c>
      <c r="AH36">
        <v>2</v>
      </c>
      <c r="AI36">
        <v>92408467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ROW(Source!A34)</f>
        <v>34</v>
      </c>
      <c r="B37">
        <v>92408479</v>
      </c>
      <c r="C37">
        <v>92408463</v>
      </c>
      <c r="D37">
        <v>37802544</v>
      </c>
      <c r="E37">
        <v>1</v>
      </c>
      <c r="F37">
        <v>1</v>
      </c>
      <c r="G37">
        <v>1</v>
      </c>
      <c r="H37">
        <v>2</v>
      </c>
      <c r="I37" t="s">
        <v>348</v>
      </c>
      <c r="J37" t="s">
        <v>349</v>
      </c>
      <c r="K37" t="s">
        <v>350</v>
      </c>
      <c r="L37">
        <v>1368</v>
      </c>
      <c r="N37">
        <v>1011</v>
      </c>
      <c r="O37" t="s">
        <v>331</v>
      </c>
      <c r="P37" t="s">
        <v>331</v>
      </c>
      <c r="Q37">
        <v>1</v>
      </c>
      <c r="X37">
        <v>4.67</v>
      </c>
      <c r="Y37">
        <v>0</v>
      </c>
      <c r="Z37">
        <v>7.11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4.67</v>
      </c>
      <c r="AH37">
        <v>2</v>
      </c>
      <c r="AI37">
        <v>92408468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ROW(Source!A34)</f>
        <v>34</v>
      </c>
      <c r="B38">
        <v>92408480</v>
      </c>
      <c r="C38">
        <v>92408463</v>
      </c>
      <c r="D38">
        <v>37804456</v>
      </c>
      <c r="E38">
        <v>1</v>
      </c>
      <c r="F38">
        <v>1</v>
      </c>
      <c r="G38">
        <v>1</v>
      </c>
      <c r="H38">
        <v>2</v>
      </c>
      <c r="I38" t="s">
        <v>339</v>
      </c>
      <c r="J38" t="s">
        <v>340</v>
      </c>
      <c r="K38" t="s">
        <v>341</v>
      </c>
      <c r="L38">
        <v>1368</v>
      </c>
      <c r="N38">
        <v>1011</v>
      </c>
      <c r="O38" t="s">
        <v>331</v>
      </c>
      <c r="P38" t="s">
        <v>331</v>
      </c>
      <c r="Q38">
        <v>1</v>
      </c>
      <c r="X38">
        <v>0.2</v>
      </c>
      <c r="Y38">
        <v>0</v>
      </c>
      <c r="Z38">
        <v>91.76</v>
      </c>
      <c r="AA38">
        <v>10.35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0.2</v>
      </c>
      <c r="AH38">
        <v>2</v>
      </c>
      <c r="AI38">
        <v>92408469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ROW(Source!A34)</f>
        <v>34</v>
      </c>
      <c r="B39">
        <v>92408481</v>
      </c>
      <c r="C39">
        <v>92408463</v>
      </c>
      <c r="D39">
        <v>37737277</v>
      </c>
      <c r="E39">
        <v>1</v>
      </c>
      <c r="F39">
        <v>1</v>
      </c>
      <c r="G39">
        <v>1</v>
      </c>
      <c r="H39">
        <v>3</v>
      </c>
      <c r="I39" t="s">
        <v>369</v>
      </c>
      <c r="J39" t="s">
        <v>370</v>
      </c>
      <c r="K39" t="s">
        <v>371</v>
      </c>
      <c r="L39">
        <v>1348</v>
      </c>
      <c r="N39">
        <v>1009</v>
      </c>
      <c r="O39" t="s">
        <v>97</v>
      </c>
      <c r="P39" t="s">
        <v>97</v>
      </c>
      <c r="Q39">
        <v>1000</v>
      </c>
      <c r="X39">
        <v>1.1E-4</v>
      </c>
      <c r="Y39">
        <v>12430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1.1E-4</v>
      </c>
      <c r="AH39">
        <v>2</v>
      </c>
      <c r="AI39">
        <v>92408470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ROW(Source!A34)</f>
        <v>34</v>
      </c>
      <c r="B40">
        <v>92408482</v>
      </c>
      <c r="C40">
        <v>92408463</v>
      </c>
      <c r="D40">
        <v>37733003</v>
      </c>
      <c r="E40">
        <v>1</v>
      </c>
      <c r="F40">
        <v>1</v>
      </c>
      <c r="G40">
        <v>1</v>
      </c>
      <c r="H40">
        <v>3</v>
      </c>
      <c r="I40" t="s">
        <v>351</v>
      </c>
      <c r="J40" t="s">
        <v>352</v>
      </c>
      <c r="K40" t="s">
        <v>353</v>
      </c>
      <c r="L40">
        <v>1308</v>
      </c>
      <c r="N40">
        <v>1003</v>
      </c>
      <c r="O40" t="s">
        <v>66</v>
      </c>
      <c r="P40" t="s">
        <v>66</v>
      </c>
      <c r="Q40">
        <v>100</v>
      </c>
      <c r="X40">
        <v>2.4500000000000001E-2</v>
      </c>
      <c r="Y40">
        <v>121.8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3</v>
      </c>
      <c r="AG40">
        <v>2.4500000000000001E-2</v>
      </c>
      <c r="AH40">
        <v>2</v>
      </c>
      <c r="AI40">
        <v>92408471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ROW(Source!A34)</f>
        <v>34</v>
      </c>
      <c r="B41">
        <v>92408483</v>
      </c>
      <c r="C41">
        <v>92408463</v>
      </c>
      <c r="D41">
        <v>37745017</v>
      </c>
      <c r="E41">
        <v>1</v>
      </c>
      <c r="F41">
        <v>1</v>
      </c>
      <c r="G41">
        <v>1</v>
      </c>
      <c r="H41">
        <v>3</v>
      </c>
      <c r="I41" t="s">
        <v>354</v>
      </c>
      <c r="J41" t="s">
        <v>355</v>
      </c>
      <c r="K41" t="s">
        <v>356</v>
      </c>
      <c r="L41">
        <v>1348</v>
      </c>
      <c r="N41">
        <v>1009</v>
      </c>
      <c r="O41" t="s">
        <v>97</v>
      </c>
      <c r="P41" t="s">
        <v>97</v>
      </c>
      <c r="Q41">
        <v>1000</v>
      </c>
      <c r="X41">
        <v>7.2000000000000005E-4</v>
      </c>
      <c r="Y41">
        <v>9528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7.2000000000000005E-4</v>
      </c>
      <c r="AH41">
        <v>2</v>
      </c>
      <c r="AI41">
        <v>92408472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ROW(Source!A34)</f>
        <v>34</v>
      </c>
      <c r="B42">
        <v>92408484</v>
      </c>
      <c r="C42">
        <v>92408463</v>
      </c>
      <c r="D42">
        <v>37785796</v>
      </c>
      <c r="E42">
        <v>1</v>
      </c>
      <c r="F42">
        <v>1</v>
      </c>
      <c r="G42">
        <v>1</v>
      </c>
      <c r="H42">
        <v>3</v>
      </c>
      <c r="I42" t="s">
        <v>59</v>
      </c>
      <c r="J42" t="s">
        <v>62</v>
      </c>
      <c r="K42" t="s">
        <v>60</v>
      </c>
      <c r="L42">
        <v>1346</v>
      </c>
      <c r="N42">
        <v>1009</v>
      </c>
      <c r="O42" t="s">
        <v>61</v>
      </c>
      <c r="P42" t="s">
        <v>61</v>
      </c>
      <c r="Q42">
        <v>1</v>
      </c>
      <c r="X42">
        <v>0.25</v>
      </c>
      <c r="Y42">
        <v>71.45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0.25</v>
      </c>
      <c r="AH42">
        <v>2</v>
      </c>
      <c r="AI42">
        <v>92408473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ROW(Source!A34)</f>
        <v>34</v>
      </c>
      <c r="B43">
        <v>92408485</v>
      </c>
      <c r="C43">
        <v>92408463</v>
      </c>
      <c r="D43">
        <v>37801918</v>
      </c>
      <c r="E43">
        <v>1</v>
      </c>
      <c r="F43">
        <v>1</v>
      </c>
      <c r="G43">
        <v>1</v>
      </c>
      <c r="H43">
        <v>3</v>
      </c>
      <c r="I43" t="s">
        <v>100</v>
      </c>
      <c r="J43" t="s">
        <v>103</v>
      </c>
      <c r="K43" t="s">
        <v>101</v>
      </c>
      <c r="L43">
        <v>1374</v>
      </c>
      <c r="N43">
        <v>1013</v>
      </c>
      <c r="O43" t="s">
        <v>102</v>
      </c>
      <c r="P43" t="s">
        <v>102</v>
      </c>
      <c r="Q43">
        <v>1</v>
      </c>
      <c r="X43">
        <v>3.64</v>
      </c>
      <c r="Y43">
        <v>1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3.64</v>
      </c>
      <c r="AH43">
        <v>2</v>
      </c>
      <c r="AI43">
        <v>92408474</v>
      </c>
      <c r="AJ43">
        <v>43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ROW(Source!A35)</f>
        <v>35</v>
      </c>
      <c r="B44">
        <v>92408497</v>
      </c>
      <c r="C44">
        <v>92408486</v>
      </c>
      <c r="D44">
        <v>23351395</v>
      </c>
      <c r="E44">
        <v>1</v>
      </c>
      <c r="F44">
        <v>1</v>
      </c>
      <c r="G44">
        <v>1</v>
      </c>
      <c r="H44">
        <v>1</v>
      </c>
      <c r="I44" t="s">
        <v>337</v>
      </c>
      <c r="J44" t="s">
        <v>3</v>
      </c>
      <c r="K44" t="s">
        <v>338</v>
      </c>
      <c r="L44">
        <v>1369</v>
      </c>
      <c r="N44">
        <v>1013</v>
      </c>
      <c r="O44" t="s">
        <v>325</v>
      </c>
      <c r="P44" t="s">
        <v>325</v>
      </c>
      <c r="Q44">
        <v>1</v>
      </c>
      <c r="X44">
        <v>10.24</v>
      </c>
      <c r="Y44">
        <v>0</v>
      </c>
      <c r="Z44">
        <v>0</v>
      </c>
      <c r="AA44">
        <v>0</v>
      </c>
      <c r="AB44">
        <v>8.99</v>
      </c>
      <c r="AC44">
        <v>0</v>
      </c>
      <c r="AD44">
        <v>1</v>
      </c>
      <c r="AE44">
        <v>1</v>
      </c>
      <c r="AF44" t="s">
        <v>3</v>
      </c>
      <c r="AG44">
        <v>10.24</v>
      </c>
      <c r="AH44">
        <v>2</v>
      </c>
      <c r="AI44">
        <v>92408487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ROW(Source!A35)</f>
        <v>35</v>
      </c>
      <c r="B45">
        <v>92408498</v>
      </c>
      <c r="C45">
        <v>92408486</v>
      </c>
      <c r="D45">
        <v>121548</v>
      </c>
      <c r="E45">
        <v>1</v>
      </c>
      <c r="F45">
        <v>1</v>
      </c>
      <c r="G45">
        <v>1</v>
      </c>
      <c r="H45">
        <v>1</v>
      </c>
      <c r="I45" t="s">
        <v>24</v>
      </c>
      <c r="J45" t="s">
        <v>3</v>
      </c>
      <c r="K45" t="s">
        <v>326</v>
      </c>
      <c r="L45">
        <v>608254</v>
      </c>
      <c r="N45">
        <v>1013</v>
      </c>
      <c r="O45" t="s">
        <v>327</v>
      </c>
      <c r="P45" t="s">
        <v>327</v>
      </c>
      <c r="Q45">
        <v>1</v>
      </c>
      <c r="X45">
        <v>0.2</v>
      </c>
      <c r="Y45">
        <v>0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2</v>
      </c>
      <c r="AF45" t="s">
        <v>3</v>
      </c>
      <c r="AG45">
        <v>0.2</v>
      </c>
      <c r="AH45">
        <v>2</v>
      </c>
      <c r="AI45">
        <v>92408488</v>
      </c>
      <c r="AJ45">
        <v>45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ROW(Source!A35)</f>
        <v>35</v>
      </c>
      <c r="B46">
        <v>92408499</v>
      </c>
      <c r="C46">
        <v>92408486</v>
      </c>
      <c r="D46">
        <v>37802432</v>
      </c>
      <c r="E46">
        <v>1</v>
      </c>
      <c r="F46">
        <v>1</v>
      </c>
      <c r="G46">
        <v>1</v>
      </c>
      <c r="H46">
        <v>2</v>
      </c>
      <c r="I46" t="s">
        <v>342</v>
      </c>
      <c r="J46" t="s">
        <v>343</v>
      </c>
      <c r="K46" t="s">
        <v>344</v>
      </c>
      <c r="L46">
        <v>1368</v>
      </c>
      <c r="N46">
        <v>1011</v>
      </c>
      <c r="O46" t="s">
        <v>331</v>
      </c>
      <c r="P46" t="s">
        <v>331</v>
      </c>
      <c r="Q46">
        <v>1</v>
      </c>
      <c r="X46">
        <v>0.2</v>
      </c>
      <c r="Y46">
        <v>0</v>
      </c>
      <c r="Z46">
        <v>138.54</v>
      </c>
      <c r="AA46">
        <v>12.1</v>
      </c>
      <c r="AB46">
        <v>0</v>
      </c>
      <c r="AC46">
        <v>0</v>
      </c>
      <c r="AD46">
        <v>1</v>
      </c>
      <c r="AE46">
        <v>0</v>
      </c>
      <c r="AF46" t="s">
        <v>3</v>
      </c>
      <c r="AG46">
        <v>0.2</v>
      </c>
      <c r="AH46">
        <v>2</v>
      </c>
      <c r="AI46">
        <v>92408489</v>
      </c>
      <c r="AJ46">
        <v>46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ROW(Source!A35)</f>
        <v>35</v>
      </c>
      <c r="B47">
        <v>92408500</v>
      </c>
      <c r="C47">
        <v>92408486</v>
      </c>
      <c r="D47">
        <v>37802530</v>
      </c>
      <c r="E47">
        <v>1</v>
      </c>
      <c r="F47">
        <v>1</v>
      </c>
      <c r="G47">
        <v>1</v>
      </c>
      <c r="H47">
        <v>2</v>
      </c>
      <c r="I47" t="s">
        <v>345</v>
      </c>
      <c r="J47" t="s">
        <v>346</v>
      </c>
      <c r="K47" t="s">
        <v>347</v>
      </c>
      <c r="L47">
        <v>1368</v>
      </c>
      <c r="N47">
        <v>1011</v>
      </c>
      <c r="O47" t="s">
        <v>331</v>
      </c>
      <c r="P47" t="s">
        <v>331</v>
      </c>
      <c r="Q47">
        <v>1</v>
      </c>
      <c r="X47">
        <v>2.23</v>
      </c>
      <c r="Y47">
        <v>0</v>
      </c>
      <c r="Z47">
        <v>1.52</v>
      </c>
      <c r="AA47">
        <v>0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2.23</v>
      </c>
      <c r="AH47">
        <v>2</v>
      </c>
      <c r="AI47">
        <v>92408490</v>
      </c>
      <c r="AJ47">
        <v>47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ROW(Source!A35)</f>
        <v>35</v>
      </c>
      <c r="B48">
        <v>92408501</v>
      </c>
      <c r="C48">
        <v>92408486</v>
      </c>
      <c r="D48">
        <v>37802544</v>
      </c>
      <c r="E48">
        <v>1</v>
      </c>
      <c r="F48">
        <v>1</v>
      </c>
      <c r="G48">
        <v>1</v>
      </c>
      <c r="H48">
        <v>2</v>
      </c>
      <c r="I48" t="s">
        <v>348</v>
      </c>
      <c r="J48" t="s">
        <v>349</v>
      </c>
      <c r="K48" t="s">
        <v>350</v>
      </c>
      <c r="L48">
        <v>1368</v>
      </c>
      <c r="N48">
        <v>1011</v>
      </c>
      <c r="O48" t="s">
        <v>331</v>
      </c>
      <c r="P48" t="s">
        <v>331</v>
      </c>
      <c r="Q48">
        <v>1</v>
      </c>
      <c r="X48">
        <v>2.23</v>
      </c>
      <c r="Y48">
        <v>0</v>
      </c>
      <c r="Z48">
        <v>7.11</v>
      </c>
      <c r="AA48">
        <v>0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2.23</v>
      </c>
      <c r="AH48">
        <v>2</v>
      </c>
      <c r="AI48">
        <v>92408491</v>
      </c>
      <c r="AJ48">
        <v>48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ROW(Source!A35)</f>
        <v>35</v>
      </c>
      <c r="B49">
        <v>92408502</v>
      </c>
      <c r="C49">
        <v>92408486</v>
      </c>
      <c r="D49">
        <v>37804456</v>
      </c>
      <c r="E49">
        <v>1</v>
      </c>
      <c r="F49">
        <v>1</v>
      </c>
      <c r="G49">
        <v>1</v>
      </c>
      <c r="H49">
        <v>2</v>
      </c>
      <c r="I49" t="s">
        <v>339</v>
      </c>
      <c r="J49" t="s">
        <v>340</v>
      </c>
      <c r="K49" t="s">
        <v>341</v>
      </c>
      <c r="L49">
        <v>1368</v>
      </c>
      <c r="N49">
        <v>1011</v>
      </c>
      <c r="O49" t="s">
        <v>331</v>
      </c>
      <c r="P49" t="s">
        <v>331</v>
      </c>
      <c r="Q49">
        <v>1</v>
      </c>
      <c r="X49">
        <v>0.2</v>
      </c>
      <c r="Y49">
        <v>0</v>
      </c>
      <c r="Z49">
        <v>91.76</v>
      </c>
      <c r="AA49">
        <v>10.35</v>
      </c>
      <c r="AB49">
        <v>0</v>
      </c>
      <c r="AC49">
        <v>0</v>
      </c>
      <c r="AD49">
        <v>1</v>
      </c>
      <c r="AE49">
        <v>0</v>
      </c>
      <c r="AF49" t="s">
        <v>3</v>
      </c>
      <c r="AG49">
        <v>0.2</v>
      </c>
      <c r="AH49">
        <v>2</v>
      </c>
      <c r="AI49">
        <v>92408492</v>
      </c>
      <c r="AJ49">
        <v>49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ROW(Source!A35)</f>
        <v>35</v>
      </c>
      <c r="B50">
        <v>92408503</v>
      </c>
      <c r="C50">
        <v>92408486</v>
      </c>
      <c r="D50">
        <v>37733003</v>
      </c>
      <c r="E50">
        <v>1</v>
      </c>
      <c r="F50">
        <v>1</v>
      </c>
      <c r="G50">
        <v>1</v>
      </c>
      <c r="H50">
        <v>3</v>
      </c>
      <c r="I50" t="s">
        <v>351</v>
      </c>
      <c r="J50" t="s">
        <v>352</v>
      </c>
      <c r="K50" t="s">
        <v>353</v>
      </c>
      <c r="L50">
        <v>1308</v>
      </c>
      <c r="N50">
        <v>1003</v>
      </c>
      <c r="O50" t="s">
        <v>66</v>
      </c>
      <c r="P50" t="s">
        <v>66</v>
      </c>
      <c r="Q50">
        <v>100</v>
      </c>
      <c r="X50">
        <v>9.6000000000000002E-2</v>
      </c>
      <c r="Y50">
        <v>121.8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3</v>
      </c>
      <c r="AG50">
        <v>9.6000000000000002E-2</v>
      </c>
      <c r="AH50">
        <v>2</v>
      </c>
      <c r="AI50">
        <v>92408493</v>
      </c>
      <c r="AJ50">
        <v>50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ROW(Source!A35)</f>
        <v>35</v>
      </c>
      <c r="B51">
        <v>92408504</v>
      </c>
      <c r="C51">
        <v>92408486</v>
      </c>
      <c r="D51">
        <v>37745017</v>
      </c>
      <c r="E51">
        <v>1</v>
      </c>
      <c r="F51">
        <v>1</v>
      </c>
      <c r="G51">
        <v>1</v>
      </c>
      <c r="H51">
        <v>3</v>
      </c>
      <c r="I51" t="s">
        <v>354</v>
      </c>
      <c r="J51" t="s">
        <v>355</v>
      </c>
      <c r="K51" t="s">
        <v>356</v>
      </c>
      <c r="L51">
        <v>1348</v>
      </c>
      <c r="N51">
        <v>1009</v>
      </c>
      <c r="O51" t="s">
        <v>97</v>
      </c>
      <c r="P51" t="s">
        <v>97</v>
      </c>
      <c r="Q51">
        <v>1000</v>
      </c>
      <c r="X51">
        <v>6.0000000000000002E-5</v>
      </c>
      <c r="Y51">
        <v>9528</v>
      </c>
      <c r="Z51">
        <v>0</v>
      </c>
      <c r="AA51">
        <v>0</v>
      </c>
      <c r="AB51">
        <v>0</v>
      </c>
      <c r="AC51">
        <v>0</v>
      </c>
      <c r="AD51">
        <v>1</v>
      </c>
      <c r="AE51">
        <v>0</v>
      </c>
      <c r="AF51" t="s">
        <v>3</v>
      </c>
      <c r="AG51">
        <v>6.0000000000000002E-5</v>
      </c>
      <c r="AH51">
        <v>2</v>
      </c>
      <c r="AI51">
        <v>92408494</v>
      </c>
      <c r="AJ51">
        <v>51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ROW(Source!A35)</f>
        <v>35</v>
      </c>
      <c r="B52">
        <v>92408505</v>
      </c>
      <c r="C52">
        <v>92408486</v>
      </c>
      <c r="D52">
        <v>37785796</v>
      </c>
      <c r="E52">
        <v>1</v>
      </c>
      <c r="F52">
        <v>1</v>
      </c>
      <c r="G52">
        <v>1</v>
      </c>
      <c r="H52">
        <v>3</v>
      </c>
      <c r="I52" t="s">
        <v>59</v>
      </c>
      <c r="J52" t="s">
        <v>62</v>
      </c>
      <c r="K52" t="s">
        <v>60</v>
      </c>
      <c r="L52">
        <v>1346</v>
      </c>
      <c r="N52">
        <v>1009</v>
      </c>
      <c r="O52" t="s">
        <v>61</v>
      </c>
      <c r="P52" t="s">
        <v>61</v>
      </c>
      <c r="Q52">
        <v>1</v>
      </c>
      <c r="X52">
        <v>0.5</v>
      </c>
      <c r="Y52">
        <v>71.45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0</v>
      </c>
      <c r="AF52" t="s">
        <v>3</v>
      </c>
      <c r="AG52">
        <v>0.5</v>
      </c>
      <c r="AH52">
        <v>2</v>
      </c>
      <c r="AI52">
        <v>92408495</v>
      </c>
      <c r="AJ52">
        <v>52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ROW(Source!A35)</f>
        <v>35</v>
      </c>
      <c r="B53">
        <v>92408506</v>
      </c>
      <c r="C53">
        <v>92408486</v>
      </c>
      <c r="D53">
        <v>37801918</v>
      </c>
      <c r="E53">
        <v>1</v>
      </c>
      <c r="F53">
        <v>1</v>
      </c>
      <c r="G53">
        <v>1</v>
      </c>
      <c r="H53">
        <v>3</v>
      </c>
      <c r="I53" t="s">
        <v>100</v>
      </c>
      <c r="J53" t="s">
        <v>103</v>
      </c>
      <c r="K53" t="s">
        <v>101</v>
      </c>
      <c r="L53">
        <v>1374</v>
      </c>
      <c r="N53">
        <v>1013</v>
      </c>
      <c r="O53" t="s">
        <v>102</v>
      </c>
      <c r="P53" t="s">
        <v>102</v>
      </c>
      <c r="Q53">
        <v>1</v>
      </c>
      <c r="X53">
        <v>1.84</v>
      </c>
      <c r="Y53">
        <v>1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 t="s">
        <v>3</v>
      </c>
      <c r="AG53">
        <v>1.84</v>
      </c>
      <c r="AH53">
        <v>2</v>
      </c>
      <c r="AI53">
        <v>92408496</v>
      </c>
      <c r="AJ53">
        <v>53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ROW(Source!A37)</f>
        <v>37</v>
      </c>
      <c r="B54">
        <v>92408513</v>
      </c>
      <c r="C54">
        <v>92408507</v>
      </c>
      <c r="D54">
        <v>23351395</v>
      </c>
      <c r="E54">
        <v>1</v>
      </c>
      <c r="F54">
        <v>1</v>
      </c>
      <c r="G54">
        <v>1</v>
      </c>
      <c r="H54">
        <v>1</v>
      </c>
      <c r="I54" t="s">
        <v>337</v>
      </c>
      <c r="J54" t="s">
        <v>3</v>
      </c>
      <c r="K54" t="s">
        <v>338</v>
      </c>
      <c r="L54">
        <v>1369</v>
      </c>
      <c r="N54">
        <v>1013</v>
      </c>
      <c r="O54" t="s">
        <v>325</v>
      </c>
      <c r="P54" t="s">
        <v>325</v>
      </c>
      <c r="Q54">
        <v>1</v>
      </c>
      <c r="X54">
        <v>0.38</v>
      </c>
      <c r="Y54">
        <v>0</v>
      </c>
      <c r="Z54">
        <v>0</v>
      </c>
      <c r="AA54">
        <v>0</v>
      </c>
      <c r="AB54">
        <v>8.99</v>
      </c>
      <c r="AC54">
        <v>0</v>
      </c>
      <c r="AD54">
        <v>1</v>
      </c>
      <c r="AE54">
        <v>1</v>
      </c>
      <c r="AF54" t="s">
        <v>3</v>
      </c>
      <c r="AG54">
        <v>0.38</v>
      </c>
      <c r="AH54">
        <v>2</v>
      </c>
      <c r="AI54">
        <v>92408508</v>
      </c>
      <c r="AJ54">
        <v>54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ROW(Source!A37)</f>
        <v>37</v>
      </c>
      <c r="B55">
        <v>92408514</v>
      </c>
      <c r="C55">
        <v>92408507</v>
      </c>
      <c r="D55">
        <v>37730097</v>
      </c>
      <c r="E55">
        <v>1</v>
      </c>
      <c r="F55">
        <v>1</v>
      </c>
      <c r="G55">
        <v>1</v>
      </c>
      <c r="H55">
        <v>3</v>
      </c>
      <c r="I55" t="s">
        <v>87</v>
      </c>
      <c r="J55" t="s">
        <v>89</v>
      </c>
      <c r="K55" t="s">
        <v>88</v>
      </c>
      <c r="L55">
        <v>1346</v>
      </c>
      <c r="N55">
        <v>1009</v>
      </c>
      <c r="O55" t="s">
        <v>61</v>
      </c>
      <c r="P55" t="s">
        <v>61</v>
      </c>
      <c r="Q55">
        <v>1</v>
      </c>
      <c r="X55">
        <v>0.15</v>
      </c>
      <c r="Y55">
        <v>9.0399999999999991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0</v>
      </c>
      <c r="AF55" t="s">
        <v>3</v>
      </c>
      <c r="AG55">
        <v>0.15</v>
      </c>
      <c r="AH55">
        <v>2</v>
      </c>
      <c r="AI55">
        <v>92408509</v>
      </c>
      <c r="AJ55">
        <v>55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ROW(Source!A37)</f>
        <v>37</v>
      </c>
      <c r="B56">
        <v>92408515</v>
      </c>
      <c r="C56">
        <v>92408507</v>
      </c>
      <c r="D56">
        <v>37801662</v>
      </c>
      <c r="E56">
        <v>1</v>
      </c>
      <c r="F56">
        <v>1</v>
      </c>
      <c r="G56">
        <v>1</v>
      </c>
      <c r="H56">
        <v>3</v>
      </c>
      <c r="I56" t="s">
        <v>91</v>
      </c>
      <c r="J56" t="s">
        <v>93</v>
      </c>
      <c r="K56" t="s">
        <v>92</v>
      </c>
      <c r="L56">
        <v>1346</v>
      </c>
      <c r="N56">
        <v>1009</v>
      </c>
      <c r="O56" t="s">
        <v>61</v>
      </c>
      <c r="P56" t="s">
        <v>61</v>
      </c>
      <c r="Q56">
        <v>1</v>
      </c>
      <c r="X56">
        <v>0.72</v>
      </c>
      <c r="Y56">
        <v>16.940000000000001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0</v>
      </c>
      <c r="AF56" t="s">
        <v>3</v>
      </c>
      <c r="AG56">
        <v>0.72</v>
      </c>
      <c r="AH56">
        <v>2</v>
      </c>
      <c r="AI56">
        <v>92408510</v>
      </c>
      <c r="AJ56">
        <v>56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ROW(Source!A37)</f>
        <v>37</v>
      </c>
      <c r="B57">
        <v>92408516</v>
      </c>
      <c r="C57">
        <v>92408507</v>
      </c>
      <c r="D57">
        <v>37801788</v>
      </c>
      <c r="E57">
        <v>1</v>
      </c>
      <c r="F57">
        <v>1</v>
      </c>
      <c r="G57">
        <v>1</v>
      </c>
      <c r="H57">
        <v>3</v>
      </c>
      <c r="I57" t="s">
        <v>95</v>
      </c>
      <c r="J57" t="s">
        <v>98</v>
      </c>
      <c r="K57" t="s">
        <v>96</v>
      </c>
      <c r="L57">
        <v>1348</v>
      </c>
      <c r="N57">
        <v>1009</v>
      </c>
      <c r="O57" t="s">
        <v>97</v>
      </c>
      <c r="P57" t="s">
        <v>97</v>
      </c>
      <c r="Q57">
        <v>1000</v>
      </c>
      <c r="X57">
        <v>6.0000000000000002E-5</v>
      </c>
      <c r="Y57">
        <v>27354.25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0</v>
      </c>
      <c r="AF57" t="s">
        <v>3</v>
      </c>
      <c r="AG57">
        <v>6.0000000000000002E-5</v>
      </c>
      <c r="AH57">
        <v>2</v>
      </c>
      <c r="AI57">
        <v>92408511</v>
      </c>
      <c r="AJ57">
        <v>57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ROW(Source!A37)</f>
        <v>37</v>
      </c>
      <c r="B58">
        <v>92408517</v>
      </c>
      <c r="C58">
        <v>92408507</v>
      </c>
      <c r="D58">
        <v>37801918</v>
      </c>
      <c r="E58">
        <v>1</v>
      </c>
      <c r="F58">
        <v>1</v>
      </c>
      <c r="G58">
        <v>1</v>
      </c>
      <c r="H58">
        <v>3</v>
      </c>
      <c r="I58" t="s">
        <v>100</v>
      </c>
      <c r="J58" t="s">
        <v>103</v>
      </c>
      <c r="K58" t="s">
        <v>101</v>
      </c>
      <c r="L58">
        <v>1374</v>
      </c>
      <c r="N58">
        <v>1013</v>
      </c>
      <c r="O58" t="s">
        <v>102</v>
      </c>
      <c r="P58" t="s">
        <v>102</v>
      </c>
      <c r="Q58">
        <v>1</v>
      </c>
      <c r="X58">
        <v>7.0000000000000007E-2</v>
      </c>
      <c r="Y58">
        <v>1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0</v>
      </c>
      <c r="AF58" t="s">
        <v>3</v>
      </c>
      <c r="AG58">
        <v>7.0000000000000007E-2</v>
      </c>
      <c r="AH58">
        <v>2</v>
      </c>
      <c r="AI58">
        <v>92408512</v>
      </c>
      <c r="AJ58">
        <v>58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ROW(Source!A42)</f>
        <v>42</v>
      </c>
      <c r="B59">
        <v>92408604</v>
      </c>
      <c r="C59">
        <v>92408594</v>
      </c>
      <c r="D59">
        <v>23351395</v>
      </c>
      <c r="E59">
        <v>1</v>
      </c>
      <c r="F59">
        <v>1</v>
      </c>
      <c r="G59">
        <v>1</v>
      </c>
      <c r="H59">
        <v>1</v>
      </c>
      <c r="I59" t="s">
        <v>337</v>
      </c>
      <c r="J59" t="s">
        <v>3</v>
      </c>
      <c r="K59" t="s">
        <v>338</v>
      </c>
      <c r="L59">
        <v>1369</v>
      </c>
      <c r="N59">
        <v>1013</v>
      </c>
      <c r="O59" t="s">
        <v>325</v>
      </c>
      <c r="P59" t="s">
        <v>325</v>
      </c>
      <c r="Q59">
        <v>1</v>
      </c>
      <c r="X59">
        <v>1.34</v>
      </c>
      <c r="Y59">
        <v>0</v>
      </c>
      <c r="Z59">
        <v>0</v>
      </c>
      <c r="AA59">
        <v>0</v>
      </c>
      <c r="AB59">
        <v>8.99</v>
      </c>
      <c r="AC59">
        <v>0</v>
      </c>
      <c r="AD59">
        <v>1</v>
      </c>
      <c r="AE59">
        <v>1</v>
      </c>
      <c r="AF59" t="s">
        <v>3</v>
      </c>
      <c r="AG59">
        <v>1.34</v>
      </c>
      <c r="AH59">
        <v>2</v>
      </c>
      <c r="AI59">
        <v>92408595</v>
      </c>
      <c r="AJ59">
        <v>59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ROW(Source!A42)</f>
        <v>42</v>
      </c>
      <c r="B60">
        <v>92408605</v>
      </c>
      <c r="C60">
        <v>92408594</v>
      </c>
      <c r="D60">
        <v>121548</v>
      </c>
      <c r="E60">
        <v>1</v>
      </c>
      <c r="F60">
        <v>1</v>
      </c>
      <c r="G60">
        <v>1</v>
      </c>
      <c r="H60">
        <v>1</v>
      </c>
      <c r="I60" t="s">
        <v>24</v>
      </c>
      <c r="J60" t="s">
        <v>3</v>
      </c>
      <c r="K60" t="s">
        <v>326</v>
      </c>
      <c r="L60">
        <v>608254</v>
      </c>
      <c r="N60">
        <v>1013</v>
      </c>
      <c r="O60" t="s">
        <v>327</v>
      </c>
      <c r="P60" t="s">
        <v>327</v>
      </c>
      <c r="Q60">
        <v>1</v>
      </c>
      <c r="X60">
        <v>0.01</v>
      </c>
      <c r="Y60">
        <v>0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2</v>
      </c>
      <c r="AF60" t="s">
        <v>3</v>
      </c>
      <c r="AG60">
        <v>0.01</v>
      </c>
      <c r="AH60">
        <v>2</v>
      </c>
      <c r="AI60">
        <v>92408596</v>
      </c>
      <c r="AJ60">
        <v>60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ROW(Source!A42)</f>
        <v>42</v>
      </c>
      <c r="B61">
        <v>92408606</v>
      </c>
      <c r="C61">
        <v>92408594</v>
      </c>
      <c r="D61">
        <v>37802432</v>
      </c>
      <c r="E61">
        <v>1</v>
      </c>
      <c r="F61">
        <v>1</v>
      </c>
      <c r="G61">
        <v>1</v>
      </c>
      <c r="H61">
        <v>2</v>
      </c>
      <c r="I61" t="s">
        <v>342</v>
      </c>
      <c r="J61" t="s">
        <v>343</v>
      </c>
      <c r="K61" t="s">
        <v>344</v>
      </c>
      <c r="L61">
        <v>1368</v>
      </c>
      <c r="N61">
        <v>1011</v>
      </c>
      <c r="O61" t="s">
        <v>331</v>
      </c>
      <c r="P61" t="s">
        <v>331</v>
      </c>
      <c r="Q61">
        <v>1</v>
      </c>
      <c r="X61">
        <v>0.01</v>
      </c>
      <c r="Y61">
        <v>0</v>
      </c>
      <c r="Z61">
        <v>138.54</v>
      </c>
      <c r="AA61">
        <v>12.1</v>
      </c>
      <c r="AB61">
        <v>0</v>
      </c>
      <c r="AC61">
        <v>0</v>
      </c>
      <c r="AD61">
        <v>1</v>
      </c>
      <c r="AE61">
        <v>0</v>
      </c>
      <c r="AF61" t="s">
        <v>3</v>
      </c>
      <c r="AG61">
        <v>0.01</v>
      </c>
      <c r="AH61">
        <v>2</v>
      </c>
      <c r="AI61">
        <v>92408597</v>
      </c>
      <c r="AJ61">
        <v>61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ROW(Source!A42)</f>
        <v>42</v>
      </c>
      <c r="B62">
        <v>92408607</v>
      </c>
      <c r="C62">
        <v>92408594</v>
      </c>
      <c r="D62">
        <v>37804456</v>
      </c>
      <c r="E62">
        <v>1</v>
      </c>
      <c r="F62">
        <v>1</v>
      </c>
      <c r="G62">
        <v>1</v>
      </c>
      <c r="H62">
        <v>2</v>
      </c>
      <c r="I62" t="s">
        <v>339</v>
      </c>
      <c r="J62" t="s">
        <v>340</v>
      </c>
      <c r="K62" t="s">
        <v>341</v>
      </c>
      <c r="L62">
        <v>1368</v>
      </c>
      <c r="N62">
        <v>1011</v>
      </c>
      <c r="O62" t="s">
        <v>331</v>
      </c>
      <c r="P62" t="s">
        <v>331</v>
      </c>
      <c r="Q62">
        <v>1</v>
      </c>
      <c r="X62">
        <v>0.01</v>
      </c>
      <c r="Y62">
        <v>0</v>
      </c>
      <c r="Z62">
        <v>91.76</v>
      </c>
      <c r="AA62">
        <v>10.35</v>
      </c>
      <c r="AB62">
        <v>0</v>
      </c>
      <c r="AC62">
        <v>0</v>
      </c>
      <c r="AD62">
        <v>1</v>
      </c>
      <c r="AE62">
        <v>0</v>
      </c>
      <c r="AF62" t="s">
        <v>3</v>
      </c>
      <c r="AG62">
        <v>0.01</v>
      </c>
      <c r="AH62">
        <v>2</v>
      </c>
      <c r="AI62">
        <v>92408598</v>
      </c>
      <c r="AJ62">
        <v>62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">
      <c r="A63">
        <f>ROW(Source!A42)</f>
        <v>42</v>
      </c>
      <c r="B63">
        <v>92408608</v>
      </c>
      <c r="C63">
        <v>92408594</v>
      </c>
      <c r="D63">
        <v>37729625</v>
      </c>
      <c r="E63">
        <v>1</v>
      </c>
      <c r="F63">
        <v>1</v>
      </c>
      <c r="G63">
        <v>1</v>
      </c>
      <c r="H63">
        <v>3</v>
      </c>
      <c r="I63" t="s">
        <v>110</v>
      </c>
      <c r="J63" t="s">
        <v>112</v>
      </c>
      <c r="K63" t="s">
        <v>111</v>
      </c>
      <c r="L63">
        <v>1348</v>
      </c>
      <c r="N63">
        <v>1009</v>
      </c>
      <c r="O63" t="s">
        <v>97</v>
      </c>
      <c r="P63" t="s">
        <v>97</v>
      </c>
      <c r="Q63">
        <v>1000</v>
      </c>
      <c r="X63">
        <v>8.0000000000000004E-4</v>
      </c>
      <c r="Y63">
        <v>4488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0</v>
      </c>
      <c r="AF63" t="s">
        <v>3</v>
      </c>
      <c r="AG63">
        <v>8.0000000000000004E-4</v>
      </c>
      <c r="AH63">
        <v>2</v>
      </c>
      <c r="AI63">
        <v>92408599</v>
      </c>
      <c r="AJ63">
        <v>63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ROW(Source!A42)</f>
        <v>42</v>
      </c>
      <c r="B64">
        <v>92408609</v>
      </c>
      <c r="C64">
        <v>92408594</v>
      </c>
      <c r="D64">
        <v>37729662</v>
      </c>
      <c r="E64">
        <v>1</v>
      </c>
      <c r="F64">
        <v>1</v>
      </c>
      <c r="G64">
        <v>1</v>
      </c>
      <c r="H64">
        <v>3</v>
      </c>
      <c r="I64" t="s">
        <v>372</v>
      </c>
      <c r="J64" t="s">
        <v>373</v>
      </c>
      <c r="K64" t="s">
        <v>374</v>
      </c>
      <c r="L64">
        <v>1346</v>
      </c>
      <c r="N64">
        <v>1009</v>
      </c>
      <c r="O64" t="s">
        <v>61</v>
      </c>
      <c r="P64" t="s">
        <v>61</v>
      </c>
      <c r="Q64">
        <v>1</v>
      </c>
      <c r="X64">
        <v>0.15</v>
      </c>
      <c r="Y64">
        <v>6.62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3</v>
      </c>
      <c r="AG64">
        <v>0.15</v>
      </c>
      <c r="AH64">
        <v>2</v>
      </c>
      <c r="AI64">
        <v>92408600</v>
      </c>
      <c r="AJ64">
        <v>64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ROW(Source!A42)</f>
        <v>42</v>
      </c>
      <c r="B65">
        <v>92408610</v>
      </c>
      <c r="C65">
        <v>92408594</v>
      </c>
      <c r="D65">
        <v>37733003</v>
      </c>
      <c r="E65">
        <v>1</v>
      </c>
      <c r="F65">
        <v>1</v>
      </c>
      <c r="G65">
        <v>1</v>
      </c>
      <c r="H65">
        <v>3</v>
      </c>
      <c r="I65" t="s">
        <v>351</v>
      </c>
      <c r="J65" t="s">
        <v>352</v>
      </c>
      <c r="K65" t="s">
        <v>353</v>
      </c>
      <c r="L65">
        <v>1308</v>
      </c>
      <c r="N65">
        <v>1003</v>
      </c>
      <c r="O65" t="s">
        <v>66</v>
      </c>
      <c r="P65" t="s">
        <v>66</v>
      </c>
      <c r="Q65">
        <v>100</v>
      </c>
      <c r="X65">
        <v>2.3999999999999998E-3</v>
      </c>
      <c r="Y65">
        <v>121.8</v>
      </c>
      <c r="Z65">
        <v>0</v>
      </c>
      <c r="AA65">
        <v>0</v>
      </c>
      <c r="AB65">
        <v>0</v>
      </c>
      <c r="AC65">
        <v>0</v>
      </c>
      <c r="AD65">
        <v>1</v>
      </c>
      <c r="AE65">
        <v>0</v>
      </c>
      <c r="AF65" t="s">
        <v>3</v>
      </c>
      <c r="AG65">
        <v>2.3999999999999998E-3</v>
      </c>
      <c r="AH65">
        <v>2</v>
      </c>
      <c r="AI65">
        <v>92408601</v>
      </c>
      <c r="AJ65">
        <v>65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ROW(Source!A42)</f>
        <v>42</v>
      </c>
      <c r="B66">
        <v>92408611</v>
      </c>
      <c r="C66">
        <v>92408594</v>
      </c>
      <c r="D66">
        <v>37801806</v>
      </c>
      <c r="E66">
        <v>1</v>
      </c>
      <c r="F66">
        <v>1</v>
      </c>
      <c r="G66">
        <v>1</v>
      </c>
      <c r="H66">
        <v>3</v>
      </c>
      <c r="I66" t="s">
        <v>375</v>
      </c>
      <c r="J66" t="s">
        <v>376</v>
      </c>
      <c r="K66" t="s">
        <v>377</v>
      </c>
      <c r="L66">
        <v>1348</v>
      </c>
      <c r="N66">
        <v>1009</v>
      </c>
      <c r="O66" t="s">
        <v>97</v>
      </c>
      <c r="P66" t="s">
        <v>97</v>
      </c>
      <c r="Q66">
        <v>1000</v>
      </c>
      <c r="X66">
        <v>1.0000000000000001E-5</v>
      </c>
      <c r="Y66">
        <v>9301.2800000000007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0</v>
      </c>
      <c r="AF66" t="s">
        <v>3</v>
      </c>
      <c r="AG66">
        <v>1.0000000000000001E-5</v>
      </c>
      <c r="AH66">
        <v>2</v>
      </c>
      <c r="AI66">
        <v>92408602</v>
      </c>
      <c r="AJ66">
        <v>66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ROW(Source!A42)</f>
        <v>42</v>
      </c>
      <c r="B67">
        <v>92408612</v>
      </c>
      <c r="C67">
        <v>92408594</v>
      </c>
      <c r="D67">
        <v>37801918</v>
      </c>
      <c r="E67">
        <v>1</v>
      </c>
      <c r="F67">
        <v>1</v>
      </c>
      <c r="G67">
        <v>1</v>
      </c>
      <c r="H67">
        <v>3</v>
      </c>
      <c r="I67" t="s">
        <v>100</v>
      </c>
      <c r="J67" t="s">
        <v>103</v>
      </c>
      <c r="K67" t="s">
        <v>101</v>
      </c>
      <c r="L67">
        <v>1374</v>
      </c>
      <c r="N67">
        <v>1013</v>
      </c>
      <c r="O67" t="s">
        <v>102</v>
      </c>
      <c r="P67" t="s">
        <v>102</v>
      </c>
      <c r="Q67">
        <v>1</v>
      </c>
      <c r="X67">
        <v>0.24</v>
      </c>
      <c r="Y67">
        <v>1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0</v>
      </c>
      <c r="AF67" t="s">
        <v>3</v>
      </c>
      <c r="AG67">
        <v>0.24</v>
      </c>
      <c r="AH67">
        <v>2</v>
      </c>
      <c r="AI67">
        <v>92408603</v>
      </c>
      <c r="AJ67">
        <v>67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ROW(Source!A44)</f>
        <v>44</v>
      </c>
      <c r="B68">
        <v>92408635</v>
      </c>
      <c r="C68">
        <v>92408632</v>
      </c>
      <c r="D68">
        <v>23351395</v>
      </c>
      <c r="E68">
        <v>1</v>
      </c>
      <c r="F68">
        <v>1</v>
      </c>
      <c r="G68">
        <v>1</v>
      </c>
      <c r="H68">
        <v>1</v>
      </c>
      <c r="I68" t="s">
        <v>337</v>
      </c>
      <c r="J68" t="s">
        <v>3</v>
      </c>
      <c r="K68" t="s">
        <v>338</v>
      </c>
      <c r="L68">
        <v>1369</v>
      </c>
      <c r="N68">
        <v>1013</v>
      </c>
      <c r="O68" t="s">
        <v>325</v>
      </c>
      <c r="P68" t="s">
        <v>325</v>
      </c>
      <c r="Q68">
        <v>1</v>
      </c>
      <c r="X68">
        <v>30.4</v>
      </c>
      <c r="Y68">
        <v>0</v>
      </c>
      <c r="Z68">
        <v>0</v>
      </c>
      <c r="AA68">
        <v>0</v>
      </c>
      <c r="AB68">
        <v>8.99</v>
      </c>
      <c r="AC68">
        <v>0</v>
      </c>
      <c r="AD68">
        <v>1</v>
      </c>
      <c r="AE68">
        <v>1</v>
      </c>
      <c r="AF68" t="s">
        <v>3</v>
      </c>
      <c r="AG68">
        <v>30.4</v>
      </c>
      <c r="AH68">
        <v>2</v>
      </c>
      <c r="AI68">
        <v>92408633</v>
      </c>
      <c r="AJ68">
        <v>68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ROW(Source!A44)</f>
        <v>44</v>
      </c>
      <c r="B69">
        <v>92408636</v>
      </c>
      <c r="C69">
        <v>92408632</v>
      </c>
      <c r="D69">
        <v>37801918</v>
      </c>
      <c r="E69">
        <v>1</v>
      </c>
      <c r="F69">
        <v>1</v>
      </c>
      <c r="G69">
        <v>1</v>
      </c>
      <c r="H69">
        <v>3</v>
      </c>
      <c r="I69" t="s">
        <v>100</v>
      </c>
      <c r="J69" t="s">
        <v>103</v>
      </c>
      <c r="K69" t="s">
        <v>101</v>
      </c>
      <c r="L69">
        <v>1374</v>
      </c>
      <c r="N69">
        <v>1013</v>
      </c>
      <c r="O69" t="s">
        <v>102</v>
      </c>
      <c r="P69" t="s">
        <v>102</v>
      </c>
      <c r="Q69">
        <v>1</v>
      </c>
      <c r="X69">
        <v>5.47</v>
      </c>
      <c r="Y69">
        <v>1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0</v>
      </c>
      <c r="AF69" t="s">
        <v>3</v>
      </c>
      <c r="AG69">
        <v>5.47</v>
      </c>
      <c r="AH69">
        <v>2</v>
      </c>
      <c r="AI69">
        <v>92408634</v>
      </c>
      <c r="AJ69">
        <v>69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ROW(Source!A45)</f>
        <v>45</v>
      </c>
      <c r="B70">
        <v>92408854</v>
      </c>
      <c r="C70">
        <v>92408853</v>
      </c>
      <c r="D70">
        <v>23129487</v>
      </c>
      <c r="E70">
        <v>1</v>
      </c>
      <c r="F70">
        <v>1</v>
      </c>
      <c r="G70">
        <v>1</v>
      </c>
      <c r="H70">
        <v>1</v>
      </c>
      <c r="I70" t="s">
        <v>378</v>
      </c>
      <c r="J70" t="s">
        <v>3</v>
      </c>
      <c r="K70" t="s">
        <v>379</v>
      </c>
      <c r="L70">
        <v>1369</v>
      </c>
      <c r="N70">
        <v>1013</v>
      </c>
      <c r="O70" t="s">
        <v>325</v>
      </c>
      <c r="P70" t="s">
        <v>325</v>
      </c>
      <c r="Q70">
        <v>1</v>
      </c>
      <c r="X70">
        <v>62.41</v>
      </c>
      <c r="Y70">
        <v>0</v>
      </c>
      <c r="Z70">
        <v>0</v>
      </c>
      <c r="AA70">
        <v>0</v>
      </c>
      <c r="AB70">
        <v>8.48</v>
      </c>
      <c r="AC70">
        <v>0</v>
      </c>
      <c r="AD70">
        <v>1</v>
      </c>
      <c r="AE70">
        <v>1</v>
      </c>
      <c r="AF70" t="s">
        <v>3</v>
      </c>
      <c r="AG70">
        <v>62.41</v>
      </c>
      <c r="AH70">
        <v>2</v>
      </c>
      <c r="AI70">
        <v>92408854</v>
      </c>
      <c r="AJ70">
        <v>70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ROW(Source!A45)</f>
        <v>45</v>
      </c>
      <c r="B71">
        <v>92408855</v>
      </c>
      <c r="C71">
        <v>92408853</v>
      </c>
      <c r="D71">
        <v>37804211</v>
      </c>
      <c r="E71">
        <v>1</v>
      </c>
      <c r="F71">
        <v>1</v>
      </c>
      <c r="G71">
        <v>1</v>
      </c>
      <c r="H71">
        <v>2</v>
      </c>
      <c r="I71" t="s">
        <v>380</v>
      </c>
      <c r="J71" t="s">
        <v>381</v>
      </c>
      <c r="K71" t="s">
        <v>382</v>
      </c>
      <c r="L71">
        <v>1368</v>
      </c>
      <c r="N71">
        <v>1011</v>
      </c>
      <c r="O71" t="s">
        <v>331</v>
      </c>
      <c r="P71" t="s">
        <v>331</v>
      </c>
      <c r="Q71">
        <v>1</v>
      </c>
      <c r="X71">
        <v>25.2</v>
      </c>
      <c r="Y71">
        <v>0</v>
      </c>
      <c r="Z71">
        <v>7.52</v>
      </c>
      <c r="AA71">
        <v>0</v>
      </c>
      <c r="AB71">
        <v>0</v>
      </c>
      <c r="AC71">
        <v>0</v>
      </c>
      <c r="AD71">
        <v>1</v>
      </c>
      <c r="AE71">
        <v>0</v>
      </c>
      <c r="AF71" t="s">
        <v>3</v>
      </c>
      <c r="AG71">
        <v>25.2</v>
      </c>
      <c r="AH71">
        <v>2</v>
      </c>
      <c r="AI71">
        <v>92408855</v>
      </c>
      <c r="AJ71">
        <v>71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ROW(Source!A45)</f>
        <v>45</v>
      </c>
      <c r="B72">
        <v>92408856</v>
      </c>
      <c r="C72">
        <v>92408853</v>
      </c>
      <c r="D72">
        <v>37804456</v>
      </c>
      <c r="E72">
        <v>1</v>
      </c>
      <c r="F72">
        <v>1</v>
      </c>
      <c r="G72">
        <v>1</v>
      </c>
      <c r="H72">
        <v>2</v>
      </c>
      <c r="I72" t="s">
        <v>339</v>
      </c>
      <c r="J72" t="s">
        <v>340</v>
      </c>
      <c r="K72" t="s">
        <v>341</v>
      </c>
      <c r="L72">
        <v>1368</v>
      </c>
      <c r="N72">
        <v>1011</v>
      </c>
      <c r="O72" t="s">
        <v>331</v>
      </c>
      <c r="P72" t="s">
        <v>331</v>
      </c>
      <c r="Q72">
        <v>1</v>
      </c>
      <c r="X72">
        <v>0.26</v>
      </c>
      <c r="Y72">
        <v>0</v>
      </c>
      <c r="Z72">
        <v>91.76</v>
      </c>
      <c r="AA72">
        <v>10.35</v>
      </c>
      <c r="AB72">
        <v>0</v>
      </c>
      <c r="AC72">
        <v>0</v>
      </c>
      <c r="AD72">
        <v>1</v>
      </c>
      <c r="AE72">
        <v>0</v>
      </c>
      <c r="AF72" t="s">
        <v>3</v>
      </c>
      <c r="AG72">
        <v>0.26</v>
      </c>
      <c r="AH72">
        <v>2</v>
      </c>
      <c r="AI72">
        <v>92408856</v>
      </c>
      <c r="AJ72">
        <v>72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ROW(Source!A45)</f>
        <v>45</v>
      </c>
      <c r="B73">
        <v>92408857</v>
      </c>
      <c r="C73">
        <v>92408853</v>
      </c>
      <c r="D73">
        <v>37730084</v>
      </c>
      <c r="E73">
        <v>1</v>
      </c>
      <c r="F73">
        <v>1</v>
      </c>
      <c r="G73">
        <v>1</v>
      </c>
      <c r="H73">
        <v>3</v>
      </c>
      <c r="I73" t="s">
        <v>383</v>
      </c>
      <c r="J73" t="s">
        <v>384</v>
      </c>
      <c r="K73" t="s">
        <v>385</v>
      </c>
      <c r="L73">
        <v>1354</v>
      </c>
      <c r="N73">
        <v>1010</v>
      </c>
      <c r="O73" t="s">
        <v>368</v>
      </c>
      <c r="P73" t="s">
        <v>368</v>
      </c>
      <c r="Q73">
        <v>1</v>
      </c>
      <c r="X73">
        <v>10</v>
      </c>
      <c r="Y73">
        <v>4.5</v>
      </c>
      <c r="Z73">
        <v>0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3</v>
      </c>
      <c r="AG73">
        <v>10</v>
      </c>
      <c r="AH73">
        <v>2</v>
      </c>
      <c r="AI73">
        <v>92408857</v>
      </c>
      <c r="AJ73">
        <v>73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 x14ac:dyDescent="0.2">
      <c r="A74">
        <f>ROW(Source!A45)</f>
        <v>45</v>
      </c>
      <c r="B74">
        <v>92408858</v>
      </c>
      <c r="C74">
        <v>92408853</v>
      </c>
      <c r="D74">
        <v>37729991</v>
      </c>
      <c r="E74">
        <v>1</v>
      </c>
      <c r="F74">
        <v>1</v>
      </c>
      <c r="G74">
        <v>1</v>
      </c>
      <c r="H74">
        <v>3</v>
      </c>
      <c r="I74" t="s">
        <v>386</v>
      </c>
      <c r="J74" t="s">
        <v>387</v>
      </c>
      <c r="K74" t="s">
        <v>388</v>
      </c>
      <c r="L74">
        <v>1346</v>
      </c>
      <c r="N74">
        <v>1009</v>
      </c>
      <c r="O74" t="s">
        <v>61</v>
      </c>
      <c r="P74" t="s">
        <v>61</v>
      </c>
      <c r="Q74">
        <v>1</v>
      </c>
      <c r="X74">
        <v>10</v>
      </c>
      <c r="Y74">
        <v>1.82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0</v>
      </c>
      <c r="AF74" t="s">
        <v>3</v>
      </c>
      <c r="AG74">
        <v>10</v>
      </c>
      <c r="AH74">
        <v>2</v>
      </c>
      <c r="AI74">
        <v>92408858</v>
      </c>
      <c r="AJ74">
        <v>74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 x14ac:dyDescent="0.2">
      <c r="A75">
        <f>ROW(Source!A45)</f>
        <v>45</v>
      </c>
      <c r="B75">
        <v>92408859</v>
      </c>
      <c r="C75">
        <v>92408853</v>
      </c>
      <c r="D75">
        <v>37745190</v>
      </c>
      <c r="E75">
        <v>1</v>
      </c>
      <c r="F75">
        <v>1</v>
      </c>
      <c r="G75">
        <v>1</v>
      </c>
      <c r="H75">
        <v>3</v>
      </c>
      <c r="I75" t="s">
        <v>389</v>
      </c>
      <c r="J75" t="s">
        <v>390</v>
      </c>
      <c r="K75" t="s">
        <v>391</v>
      </c>
      <c r="L75">
        <v>1346</v>
      </c>
      <c r="N75">
        <v>1009</v>
      </c>
      <c r="O75" t="s">
        <v>61</v>
      </c>
      <c r="P75" t="s">
        <v>61</v>
      </c>
      <c r="Q75">
        <v>1</v>
      </c>
      <c r="X75">
        <v>150</v>
      </c>
      <c r="Y75">
        <v>74.41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3</v>
      </c>
      <c r="AG75">
        <v>150</v>
      </c>
      <c r="AH75">
        <v>2</v>
      </c>
      <c r="AI75">
        <v>92408859</v>
      </c>
      <c r="AJ75">
        <v>75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 x14ac:dyDescent="0.2">
      <c r="A76">
        <f>ROW(Source!A45)</f>
        <v>45</v>
      </c>
      <c r="B76">
        <v>92408860</v>
      </c>
      <c r="C76">
        <v>92408853</v>
      </c>
      <c r="D76">
        <v>37777802</v>
      </c>
      <c r="E76">
        <v>1</v>
      </c>
      <c r="F76">
        <v>1</v>
      </c>
      <c r="G76">
        <v>1</v>
      </c>
      <c r="H76">
        <v>3</v>
      </c>
      <c r="I76" t="s">
        <v>392</v>
      </c>
      <c r="J76" t="s">
        <v>393</v>
      </c>
      <c r="K76" t="s">
        <v>394</v>
      </c>
      <c r="L76">
        <v>1339</v>
      </c>
      <c r="N76">
        <v>1007</v>
      </c>
      <c r="O76" t="s">
        <v>395</v>
      </c>
      <c r="P76" t="s">
        <v>395</v>
      </c>
      <c r="Q76">
        <v>1</v>
      </c>
      <c r="X76">
        <v>0.21</v>
      </c>
      <c r="Y76">
        <v>2.4700000000000002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3</v>
      </c>
      <c r="AG76">
        <v>0.21</v>
      </c>
      <c r="AH76">
        <v>2</v>
      </c>
      <c r="AI76">
        <v>92408860</v>
      </c>
      <c r="AJ76">
        <v>76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 x14ac:dyDescent="0.2">
      <c r="A77">
        <f>ROW(Source!A46)</f>
        <v>46</v>
      </c>
      <c r="B77">
        <v>92408640</v>
      </c>
      <c r="C77">
        <v>92408637</v>
      </c>
      <c r="D77">
        <v>23567055</v>
      </c>
      <c r="E77">
        <v>1</v>
      </c>
      <c r="F77">
        <v>1</v>
      </c>
      <c r="G77">
        <v>1</v>
      </c>
      <c r="H77">
        <v>1</v>
      </c>
      <c r="I77" t="s">
        <v>396</v>
      </c>
      <c r="J77" t="s">
        <v>3</v>
      </c>
      <c r="K77" t="s">
        <v>397</v>
      </c>
      <c r="L77">
        <v>1369</v>
      </c>
      <c r="N77">
        <v>1013</v>
      </c>
      <c r="O77" t="s">
        <v>325</v>
      </c>
      <c r="P77" t="s">
        <v>325</v>
      </c>
      <c r="Q77">
        <v>1</v>
      </c>
      <c r="X77">
        <v>1.94</v>
      </c>
      <c r="Y77">
        <v>0</v>
      </c>
      <c r="Z77">
        <v>0</v>
      </c>
      <c r="AA77">
        <v>0</v>
      </c>
      <c r="AB77">
        <v>8.99</v>
      </c>
      <c r="AC77">
        <v>0</v>
      </c>
      <c r="AD77">
        <v>1</v>
      </c>
      <c r="AE77">
        <v>1</v>
      </c>
      <c r="AF77" t="s">
        <v>3</v>
      </c>
      <c r="AG77">
        <v>1.94</v>
      </c>
      <c r="AH77">
        <v>2</v>
      </c>
      <c r="AI77">
        <v>92408638</v>
      </c>
      <c r="AJ77">
        <v>77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ROW(Source!A46)</f>
        <v>46</v>
      </c>
      <c r="B78">
        <v>92408641</v>
      </c>
      <c r="C78">
        <v>92408637</v>
      </c>
      <c r="D78">
        <v>23566809</v>
      </c>
      <c r="E78">
        <v>1</v>
      </c>
      <c r="F78">
        <v>1</v>
      </c>
      <c r="G78">
        <v>1</v>
      </c>
      <c r="H78">
        <v>1</v>
      </c>
      <c r="I78" t="s">
        <v>398</v>
      </c>
      <c r="J78" t="s">
        <v>3</v>
      </c>
      <c r="K78" t="s">
        <v>399</v>
      </c>
      <c r="L78">
        <v>1369</v>
      </c>
      <c r="N78">
        <v>1013</v>
      </c>
      <c r="O78" t="s">
        <v>325</v>
      </c>
      <c r="P78" t="s">
        <v>325</v>
      </c>
      <c r="Q78">
        <v>1</v>
      </c>
      <c r="X78">
        <v>2.92</v>
      </c>
      <c r="Y78">
        <v>0</v>
      </c>
      <c r="Z78">
        <v>0</v>
      </c>
      <c r="AA78">
        <v>0</v>
      </c>
      <c r="AB78">
        <v>11.86</v>
      </c>
      <c r="AC78">
        <v>0</v>
      </c>
      <c r="AD78">
        <v>1</v>
      </c>
      <c r="AE78">
        <v>1</v>
      </c>
      <c r="AF78" t="s">
        <v>3</v>
      </c>
      <c r="AG78">
        <v>2.92</v>
      </c>
      <c r="AH78">
        <v>2</v>
      </c>
      <c r="AI78">
        <v>92408639</v>
      </c>
      <c r="AJ78">
        <v>78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256" width="9.140625" customWidth="1"/>
  </cols>
  <sheetData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Смета для ТЕР ЧР</vt:lpstr>
      <vt:lpstr>Акт КС-2 для ТЕР ЧР</vt:lpstr>
      <vt:lpstr>Макет форма-3</vt:lpstr>
      <vt:lpstr>Source</vt:lpstr>
      <vt:lpstr>SourceObSm</vt:lpstr>
      <vt:lpstr>SmtRes</vt:lpstr>
      <vt:lpstr>EtalonRes</vt:lpstr>
      <vt:lpstr>SrcKA</vt:lpstr>
      <vt:lpstr>'Акт КС-2 для ТЕР ЧР'!Заголовки_для_печати</vt:lpstr>
      <vt:lpstr>'Смета для ТЕР ЧР'!Заголовки_для_печати</vt:lpstr>
      <vt:lpstr>'Акт КС-2 для ТЕР ЧР'!Область_печати</vt:lpstr>
      <vt:lpstr>'Смета для ТЕР ЧР'!Область_печати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Klimova-E</dc:creator>
  <cp:lastModifiedBy>Klimova-E</cp:lastModifiedBy>
  <cp:lastPrinted>2024-07-11T11:21:28Z</cp:lastPrinted>
  <dcterms:created xsi:type="dcterms:W3CDTF">2024-07-11T11:17:20Z</dcterms:created>
  <dcterms:modified xsi:type="dcterms:W3CDTF">2024-09-03T06:41:32Z</dcterms:modified>
</cp:coreProperties>
</file>