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askom\Васильев\ЯнтарьЭлектро\Закупки\Хоумстрой\"/>
    </mc:Choice>
  </mc:AlternateContent>
  <xr:revisionPtr revIDLastSave="0" documentId="13_ncr:1_{48A551B3-4418-43EB-8B9C-4CD6A646C25B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Смета для ТЕР ЧР" sheetId="6" r:id="rId1"/>
    <sheet name="Source" sheetId="1" r:id="rId2"/>
    <sheet name="SourceObSm" sheetId="2" r:id="rId3"/>
    <sheet name="SmtRes" sheetId="3" r:id="rId4"/>
    <sheet name="EtalonRes" sheetId="4" r:id="rId5"/>
    <sheet name="SrcKA" sheetId="5" r:id="rId6"/>
  </sheets>
  <definedNames>
    <definedName name="_xlnm.Print_Titles" localSheetId="0">'Смета для ТЕР ЧР'!$32:$32</definedName>
    <definedName name="_xlnm.Print_Area" localSheetId="0">'Смета для ТЕР ЧР'!$A$1:$L$254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1" i="6" l="1"/>
  <c r="J247" i="6"/>
  <c r="AM247" i="6"/>
  <c r="D247" i="6"/>
  <c r="C247" i="6"/>
  <c r="J246" i="6"/>
  <c r="AM246" i="6"/>
  <c r="D246" i="6"/>
  <c r="C246" i="6"/>
  <c r="J245" i="6"/>
  <c r="AM245" i="6"/>
  <c r="D245" i="6"/>
  <c r="C245" i="6"/>
  <c r="J244" i="6"/>
  <c r="C244" i="6"/>
  <c r="J243" i="6"/>
  <c r="C243" i="6"/>
  <c r="J242" i="6"/>
  <c r="C242" i="6"/>
  <c r="J241" i="6"/>
  <c r="C241" i="6"/>
  <c r="J240" i="6"/>
  <c r="C240" i="6"/>
  <c r="J235" i="6"/>
  <c r="AM235" i="6"/>
  <c r="D235" i="6"/>
  <c r="C235" i="6"/>
  <c r="J234" i="6"/>
  <c r="AM234" i="6"/>
  <c r="D234" i="6"/>
  <c r="C234" i="6"/>
  <c r="J233" i="6"/>
  <c r="AM233" i="6"/>
  <c r="D233" i="6"/>
  <c r="C233" i="6"/>
  <c r="J232" i="6"/>
  <c r="C232" i="6"/>
  <c r="J231" i="6"/>
  <c r="C231" i="6"/>
  <c r="J230" i="6"/>
  <c r="C230" i="6"/>
  <c r="J229" i="6"/>
  <c r="C229" i="6"/>
  <c r="J228" i="6"/>
  <c r="C228" i="6"/>
  <c r="I28" i="6"/>
  <c r="I27" i="6"/>
  <c r="G27" i="6" s="1"/>
  <c r="I26" i="6"/>
  <c r="I25" i="6"/>
  <c r="I24" i="6"/>
  <c r="I23" i="6"/>
  <c r="I22" i="6"/>
  <c r="AG226" i="6"/>
  <c r="A226" i="6"/>
  <c r="J223" i="6"/>
  <c r="AM223" i="6"/>
  <c r="D223" i="6"/>
  <c r="C223" i="6"/>
  <c r="J222" i="6"/>
  <c r="AM222" i="6"/>
  <c r="D222" i="6"/>
  <c r="C222" i="6"/>
  <c r="J221" i="6"/>
  <c r="AM221" i="6"/>
  <c r="D221" i="6"/>
  <c r="C221" i="6"/>
  <c r="J220" i="6"/>
  <c r="C220" i="6"/>
  <c r="J219" i="6"/>
  <c r="C219" i="6"/>
  <c r="J218" i="6"/>
  <c r="C218" i="6"/>
  <c r="J217" i="6"/>
  <c r="C217" i="6"/>
  <c r="J216" i="6"/>
  <c r="C216" i="6"/>
  <c r="AG214" i="6"/>
  <c r="A214" i="6"/>
  <c r="Z212" i="6"/>
  <c r="Y212" i="6"/>
  <c r="X212" i="6"/>
  <c r="L212" i="6"/>
  <c r="Q212" i="6" s="1"/>
  <c r="J212" i="6"/>
  <c r="P212" i="6" s="1"/>
  <c r="G212" i="6"/>
  <c r="W212" i="6" s="1"/>
  <c r="K211" i="6"/>
  <c r="J211" i="6"/>
  <c r="H211" i="6"/>
  <c r="G211" i="6"/>
  <c r="F211" i="6"/>
  <c r="V210" i="6"/>
  <c r="T210" i="6"/>
  <c r="U210" i="6"/>
  <c r="S210" i="6"/>
  <c r="F210" i="6"/>
  <c r="E210" i="6"/>
  <c r="D210" i="6"/>
  <c r="I210" i="6"/>
  <c r="B210" i="6"/>
  <c r="A210" i="6"/>
  <c r="Z209" i="6"/>
  <c r="Y209" i="6"/>
  <c r="X209" i="6"/>
  <c r="L209" i="6"/>
  <c r="Q209" i="6" s="1"/>
  <c r="J209" i="6"/>
  <c r="P209" i="6" s="1"/>
  <c r="G209" i="6"/>
  <c r="O209" i="6" s="1"/>
  <c r="K208" i="6"/>
  <c r="J208" i="6"/>
  <c r="H208" i="6"/>
  <c r="G208" i="6"/>
  <c r="F208" i="6"/>
  <c r="V207" i="6"/>
  <c r="T207" i="6"/>
  <c r="U207" i="6"/>
  <c r="S207" i="6"/>
  <c r="F207" i="6"/>
  <c r="E207" i="6"/>
  <c r="D207" i="6"/>
  <c r="I207" i="6"/>
  <c r="B207" i="6"/>
  <c r="A207" i="6"/>
  <c r="Z206" i="6"/>
  <c r="Y206" i="6"/>
  <c r="X206" i="6"/>
  <c r="L206" i="6"/>
  <c r="Q206" i="6" s="1"/>
  <c r="J206" i="6"/>
  <c r="P206" i="6" s="1"/>
  <c r="G206" i="6"/>
  <c r="W206" i="6" s="1"/>
  <c r="K205" i="6"/>
  <c r="J205" i="6"/>
  <c r="H205" i="6"/>
  <c r="G205" i="6"/>
  <c r="F205" i="6"/>
  <c r="V204" i="6"/>
  <c r="T204" i="6"/>
  <c r="U204" i="6"/>
  <c r="S204" i="6"/>
  <c r="F204" i="6"/>
  <c r="E204" i="6"/>
  <c r="D204" i="6"/>
  <c r="I204" i="6"/>
  <c r="B204" i="6"/>
  <c r="A204" i="6"/>
  <c r="Z203" i="6"/>
  <c r="Y203" i="6"/>
  <c r="X203" i="6"/>
  <c r="P203" i="6"/>
  <c r="L203" i="6"/>
  <c r="Q203" i="6" s="1"/>
  <c r="J203" i="6"/>
  <c r="G203" i="6"/>
  <c r="O203" i="6" s="1"/>
  <c r="K202" i="6"/>
  <c r="J202" i="6"/>
  <c r="H202" i="6"/>
  <c r="G202" i="6"/>
  <c r="F202" i="6"/>
  <c r="V201" i="6"/>
  <c r="T201" i="6"/>
  <c r="U201" i="6"/>
  <c r="S201" i="6"/>
  <c r="F201" i="6"/>
  <c r="E201" i="6"/>
  <c r="D201" i="6"/>
  <c r="I201" i="6"/>
  <c r="B201" i="6"/>
  <c r="A201" i="6"/>
  <c r="Z200" i="6"/>
  <c r="Y200" i="6"/>
  <c r="X200" i="6"/>
  <c r="L200" i="6"/>
  <c r="Q200" i="6" s="1"/>
  <c r="J200" i="6"/>
  <c r="P200" i="6" s="1"/>
  <c r="G200" i="6"/>
  <c r="W200" i="6" s="1"/>
  <c r="K199" i="6"/>
  <c r="J199" i="6"/>
  <c r="H199" i="6"/>
  <c r="G199" i="6"/>
  <c r="F199" i="6"/>
  <c r="V198" i="6"/>
  <c r="T198" i="6"/>
  <c r="U198" i="6"/>
  <c r="S198" i="6"/>
  <c r="F198" i="6"/>
  <c r="E198" i="6"/>
  <c r="D198" i="6"/>
  <c r="I198" i="6"/>
  <c r="B198" i="6"/>
  <c r="A198" i="6"/>
  <c r="Z197" i="6"/>
  <c r="Y197" i="6"/>
  <c r="X197" i="6"/>
  <c r="L197" i="6"/>
  <c r="Q197" i="6" s="1"/>
  <c r="J197" i="6"/>
  <c r="P197" i="6" s="1"/>
  <c r="G197" i="6"/>
  <c r="W197" i="6" s="1"/>
  <c r="K196" i="6"/>
  <c r="J196" i="6"/>
  <c r="H196" i="6"/>
  <c r="G196" i="6"/>
  <c r="F196" i="6"/>
  <c r="V195" i="6"/>
  <c r="T195" i="6"/>
  <c r="U195" i="6"/>
  <c r="S195" i="6"/>
  <c r="F195" i="6"/>
  <c r="E195" i="6"/>
  <c r="D195" i="6"/>
  <c r="I195" i="6"/>
  <c r="B195" i="6"/>
  <c r="A195" i="6"/>
  <c r="Z194" i="6"/>
  <c r="Y194" i="6"/>
  <c r="X194" i="6"/>
  <c r="L194" i="6"/>
  <c r="Q194" i="6" s="1"/>
  <c r="J194" i="6"/>
  <c r="P194" i="6" s="1"/>
  <c r="G194" i="6"/>
  <c r="W194" i="6" s="1"/>
  <c r="K193" i="6"/>
  <c r="J193" i="6"/>
  <c r="H193" i="6"/>
  <c r="G193" i="6"/>
  <c r="F193" i="6"/>
  <c r="V192" i="6"/>
  <c r="T192" i="6"/>
  <c r="U192" i="6"/>
  <c r="S192" i="6"/>
  <c r="F192" i="6"/>
  <c r="E192" i="6"/>
  <c r="D192" i="6"/>
  <c r="I192" i="6"/>
  <c r="B192" i="6"/>
  <c r="A192" i="6"/>
  <c r="Z191" i="6"/>
  <c r="Y191" i="6"/>
  <c r="X191" i="6"/>
  <c r="L191" i="6"/>
  <c r="Q191" i="6" s="1"/>
  <c r="J191" i="6"/>
  <c r="P191" i="6" s="1"/>
  <c r="G191" i="6"/>
  <c r="O191" i="6" s="1"/>
  <c r="K190" i="6"/>
  <c r="J190" i="6"/>
  <c r="H190" i="6"/>
  <c r="G190" i="6"/>
  <c r="F190" i="6"/>
  <c r="V189" i="6"/>
  <c r="T189" i="6"/>
  <c r="U189" i="6"/>
  <c r="S189" i="6"/>
  <c r="F189" i="6"/>
  <c r="E189" i="6"/>
  <c r="D189" i="6"/>
  <c r="I189" i="6"/>
  <c r="B189" i="6"/>
  <c r="A189" i="6"/>
  <c r="Z188" i="6"/>
  <c r="Y188" i="6"/>
  <c r="X188" i="6"/>
  <c r="L188" i="6"/>
  <c r="Q188" i="6" s="1"/>
  <c r="J188" i="6"/>
  <c r="P188" i="6" s="1"/>
  <c r="G188" i="6"/>
  <c r="O188" i="6" s="1"/>
  <c r="K187" i="6"/>
  <c r="J187" i="6"/>
  <c r="H187" i="6"/>
  <c r="G187" i="6"/>
  <c r="F187" i="6"/>
  <c r="V186" i="6"/>
  <c r="T186" i="6"/>
  <c r="U186" i="6"/>
  <c r="S186" i="6"/>
  <c r="F186" i="6"/>
  <c r="E186" i="6"/>
  <c r="D186" i="6"/>
  <c r="I186" i="6"/>
  <c r="B186" i="6"/>
  <c r="A186" i="6"/>
  <c r="Z185" i="6"/>
  <c r="Y185" i="6"/>
  <c r="X185" i="6"/>
  <c r="L185" i="6"/>
  <c r="Q185" i="6" s="1"/>
  <c r="J185" i="6"/>
  <c r="P185" i="6" s="1"/>
  <c r="G185" i="6"/>
  <c r="O185" i="6" s="1"/>
  <c r="K184" i="6"/>
  <c r="J184" i="6"/>
  <c r="H184" i="6"/>
  <c r="G184" i="6"/>
  <c r="F184" i="6"/>
  <c r="V183" i="6"/>
  <c r="T183" i="6"/>
  <c r="U183" i="6"/>
  <c r="S183" i="6"/>
  <c r="F183" i="6"/>
  <c r="E183" i="6"/>
  <c r="D183" i="6"/>
  <c r="I183" i="6"/>
  <c r="B183" i="6"/>
  <c r="A183" i="6"/>
  <c r="AE182" i="6"/>
  <c r="A182" i="6"/>
  <c r="Z180" i="6"/>
  <c r="Y180" i="6"/>
  <c r="X180" i="6"/>
  <c r="L180" i="6"/>
  <c r="Q180" i="6" s="1"/>
  <c r="AB179" i="6"/>
  <c r="K179" i="6"/>
  <c r="J179" i="6"/>
  <c r="Y179" i="6"/>
  <c r="AA179" i="6"/>
  <c r="H179" i="6"/>
  <c r="F179" i="6"/>
  <c r="V179" i="6"/>
  <c r="T179" i="6"/>
  <c r="U179" i="6"/>
  <c r="S179" i="6"/>
  <c r="E179" i="6"/>
  <c r="D179" i="6"/>
  <c r="C179" i="6"/>
  <c r="B179" i="6"/>
  <c r="A179" i="6"/>
  <c r="L178" i="6"/>
  <c r="G178" i="6"/>
  <c r="E178" i="6"/>
  <c r="J177" i="6"/>
  <c r="E177" i="6"/>
  <c r="J176" i="6"/>
  <c r="E176" i="6"/>
  <c r="K175" i="6"/>
  <c r="J175" i="6"/>
  <c r="H175" i="6"/>
  <c r="G175" i="6"/>
  <c r="F175" i="6"/>
  <c r="K174" i="6"/>
  <c r="J174" i="6"/>
  <c r="H174" i="6"/>
  <c r="R174" i="6" s="1"/>
  <c r="G174" i="6"/>
  <c r="F174" i="6"/>
  <c r="K173" i="6"/>
  <c r="J173" i="6"/>
  <c r="H173" i="6"/>
  <c r="G173" i="6"/>
  <c r="F173" i="6"/>
  <c r="K172" i="6"/>
  <c r="J172" i="6"/>
  <c r="H172" i="6"/>
  <c r="R172" i="6" s="1"/>
  <c r="G172" i="6"/>
  <c r="F172" i="6"/>
  <c r="C171" i="6"/>
  <c r="V170" i="6"/>
  <c r="T170" i="6"/>
  <c r="U170" i="6"/>
  <c r="S170" i="6"/>
  <c r="F170" i="6"/>
  <c r="E170" i="6"/>
  <c r="D170" i="6"/>
  <c r="I170" i="6"/>
  <c r="C170" i="6"/>
  <c r="B170" i="6"/>
  <c r="A170" i="6"/>
  <c r="Z169" i="6"/>
  <c r="Y169" i="6"/>
  <c r="X169" i="6"/>
  <c r="L169" i="6"/>
  <c r="Q169" i="6" s="1"/>
  <c r="L168" i="6"/>
  <c r="G168" i="6"/>
  <c r="E168" i="6"/>
  <c r="J167" i="6"/>
  <c r="E167" i="6"/>
  <c r="J166" i="6"/>
  <c r="E166" i="6"/>
  <c r="K165" i="6"/>
  <c r="J165" i="6"/>
  <c r="H165" i="6"/>
  <c r="G165" i="6"/>
  <c r="F165" i="6"/>
  <c r="K164" i="6"/>
  <c r="J164" i="6"/>
  <c r="H164" i="6"/>
  <c r="R164" i="6" s="1"/>
  <c r="G164" i="6"/>
  <c r="F164" i="6"/>
  <c r="K163" i="6"/>
  <c r="J163" i="6"/>
  <c r="H163" i="6"/>
  <c r="G163" i="6"/>
  <c r="F163" i="6"/>
  <c r="K162" i="6"/>
  <c r="J162" i="6"/>
  <c r="H162" i="6"/>
  <c r="R162" i="6" s="1"/>
  <c r="G162" i="6"/>
  <c r="F162" i="6"/>
  <c r="C161" i="6"/>
  <c r="V160" i="6"/>
  <c r="K167" i="6" s="1"/>
  <c r="T160" i="6"/>
  <c r="K166" i="6" s="1"/>
  <c r="U160" i="6"/>
  <c r="H167" i="6" s="1"/>
  <c r="S160" i="6"/>
  <c r="H166" i="6" s="1"/>
  <c r="G169" i="6" s="1"/>
  <c r="O169" i="6" s="1"/>
  <c r="F160" i="6"/>
  <c r="E160" i="6"/>
  <c r="D160" i="6"/>
  <c r="I160" i="6"/>
  <c r="C160" i="6"/>
  <c r="B160" i="6"/>
  <c r="A160" i="6"/>
  <c r="Z159" i="6"/>
  <c r="Y159" i="6"/>
  <c r="X159" i="6"/>
  <c r="L159" i="6"/>
  <c r="Q159" i="6" s="1"/>
  <c r="L158" i="6"/>
  <c r="G158" i="6"/>
  <c r="E158" i="6"/>
  <c r="J157" i="6"/>
  <c r="E157" i="6"/>
  <c r="J156" i="6"/>
  <c r="E156" i="6"/>
  <c r="K155" i="6"/>
  <c r="J155" i="6"/>
  <c r="H155" i="6"/>
  <c r="R155" i="6" s="1"/>
  <c r="G155" i="6"/>
  <c r="F155" i="6"/>
  <c r="K154" i="6"/>
  <c r="J154" i="6"/>
  <c r="H154" i="6"/>
  <c r="G154" i="6"/>
  <c r="F154" i="6"/>
  <c r="K153" i="6"/>
  <c r="J153" i="6"/>
  <c r="H153" i="6"/>
  <c r="R153" i="6" s="1"/>
  <c r="G153" i="6"/>
  <c r="F153" i="6"/>
  <c r="C152" i="6"/>
  <c r="V151" i="6"/>
  <c r="K157" i="6" s="1"/>
  <c r="T151" i="6"/>
  <c r="K156" i="6" s="1"/>
  <c r="U151" i="6"/>
  <c r="H157" i="6" s="1"/>
  <c r="S151" i="6"/>
  <c r="H156" i="6" s="1"/>
  <c r="F151" i="6"/>
  <c r="E151" i="6"/>
  <c r="D151" i="6"/>
  <c r="I151" i="6"/>
  <c r="C151" i="6"/>
  <c r="B151" i="6"/>
  <c r="A151" i="6"/>
  <c r="Z150" i="6"/>
  <c r="Y150" i="6"/>
  <c r="W150" i="6"/>
  <c r="L150" i="6"/>
  <c r="Q150" i="6" s="1"/>
  <c r="L149" i="6"/>
  <c r="G149" i="6"/>
  <c r="E149" i="6"/>
  <c r="J148" i="6"/>
  <c r="E148" i="6"/>
  <c r="J147" i="6"/>
  <c r="E147" i="6"/>
  <c r="K146" i="6"/>
  <c r="J146" i="6"/>
  <c r="H146" i="6"/>
  <c r="R146" i="6" s="1"/>
  <c r="G146" i="6"/>
  <c r="F146" i="6"/>
  <c r="K145" i="6"/>
  <c r="J145" i="6"/>
  <c r="H145" i="6"/>
  <c r="G145" i="6"/>
  <c r="F145" i="6"/>
  <c r="K144" i="6"/>
  <c r="J144" i="6"/>
  <c r="H144" i="6"/>
  <c r="R144" i="6" s="1"/>
  <c r="G144" i="6"/>
  <c r="F144" i="6"/>
  <c r="C143" i="6"/>
  <c r="V142" i="6"/>
  <c r="K148" i="6" s="1"/>
  <c r="T142" i="6"/>
  <c r="K147" i="6" s="1"/>
  <c r="U142" i="6"/>
  <c r="H148" i="6" s="1"/>
  <c r="S142" i="6"/>
  <c r="H147" i="6" s="1"/>
  <c r="F142" i="6"/>
  <c r="E142" i="6"/>
  <c r="D142" i="6"/>
  <c r="I142" i="6"/>
  <c r="C142" i="6"/>
  <c r="B142" i="6"/>
  <c r="A142" i="6"/>
  <c r="Z141" i="6"/>
  <c r="Y141" i="6"/>
  <c r="W141" i="6"/>
  <c r="L141" i="6"/>
  <c r="Q141" i="6" s="1"/>
  <c r="L140" i="6"/>
  <c r="G140" i="6"/>
  <c r="E140" i="6"/>
  <c r="J139" i="6"/>
  <c r="E139" i="6"/>
  <c r="J138" i="6"/>
  <c r="E138" i="6"/>
  <c r="K137" i="6"/>
  <c r="J137" i="6"/>
  <c r="H137" i="6"/>
  <c r="R137" i="6" s="1"/>
  <c r="G137" i="6"/>
  <c r="F137" i="6"/>
  <c r="V136" i="6"/>
  <c r="K139" i="6" s="1"/>
  <c r="T136" i="6"/>
  <c r="K138" i="6" s="1"/>
  <c r="U136" i="6"/>
  <c r="H139" i="6" s="1"/>
  <c r="S136" i="6"/>
  <c r="H138" i="6" s="1"/>
  <c r="F136" i="6"/>
  <c r="E136" i="6"/>
  <c r="D136" i="6"/>
  <c r="I136" i="6"/>
  <c r="C136" i="6"/>
  <c r="B136" i="6"/>
  <c r="A136" i="6"/>
  <c r="Z135" i="6"/>
  <c r="Y135" i="6"/>
  <c r="W135" i="6"/>
  <c r="L135" i="6"/>
  <c r="Q135" i="6" s="1"/>
  <c r="L134" i="6"/>
  <c r="G134" i="6"/>
  <c r="E134" i="6"/>
  <c r="J133" i="6"/>
  <c r="E133" i="6"/>
  <c r="J132" i="6"/>
  <c r="E132" i="6"/>
  <c r="K131" i="6"/>
  <c r="J131" i="6"/>
  <c r="H131" i="6"/>
  <c r="R131" i="6" s="1"/>
  <c r="G131" i="6"/>
  <c r="F131" i="6"/>
  <c r="K130" i="6"/>
  <c r="J130" i="6"/>
  <c r="H130" i="6"/>
  <c r="G130" i="6"/>
  <c r="F130" i="6"/>
  <c r="K129" i="6"/>
  <c r="J129" i="6"/>
  <c r="H129" i="6"/>
  <c r="R129" i="6" s="1"/>
  <c r="G129" i="6"/>
  <c r="F129" i="6"/>
  <c r="C128" i="6"/>
  <c r="V127" i="6"/>
  <c r="K133" i="6" s="1"/>
  <c r="T127" i="6"/>
  <c r="K132" i="6" s="1"/>
  <c r="U127" i="6"/>
  <c r="H133" i="6" s="1"/>
  <c r="S127" i="6"/>
  <c r="H132" i="6" s="1"/>
  <c r="F127" i="6"/>
  <c r="E127" i="6"/>
  <c r="D127" i="6"/>
  <c r="I127" i="6"/>
  <c r="C127" i="6"/>
  <c r="B127" i="6"/>
  <c r="A127" i="6"/>
  <c r="Z126" i="6"/>
  <c r="Y126" i="6"/>
  <c r="W126" i="6"/>
  <c r="L126" i="6"/>
  <c r="Q126" i="6" s="1"/>
  <c r="L125" i="6"/>
  <c r="G125" i="6"/>
  <c r="E125" i="6"/>
  <c r="J124" i="6"/>
  <c r="E124" i="6"/>
  <c r="J123" i="6"/>
  <c r="E123" i="6"/>
  <c r="K122" i="6"/>
  <c r="J122" i="6"/>
  <c r="H122" i="6"/>
  <c r="R122" i="6" s="1"/>
  <c r="G122" i="6"/>
  <c r="F122" i="6"/>
  <c r="K121" i="6"/>
  <c r="J121" i="6"/>
  <c r="H121" i="6"/>
  <c r="G121" i="6"/>
  <c r="F121" i="6"/>
  <c r="K120" i="6"/>
  <c r="J120" i="6"/>
  <c r="H120" i="6"/>
  <c r="R120" i="6" s="1"/>
  <c r="G120" i="6"/>
  <c r="F120" i="6"/>
  <c r="C119" i="6"/>
  <c r="V118" i="6"/>
  <c r="K124" i="6" s="1"/>
  <c r="T118" i="6"/>
  <c r="K123" i="6" s="1"/>
  <c r="U118" i="6"/>
  <c r="H124" i="6" s="1"/>
  <c r="S118" i="6"/>
  <c r="H123" i="6" s="1"/>
  <c r="F118" i="6"/>
  <c r="E118" i="6"/>
  <c r="D118" i="6"/>
  <c r="I118" i="6"/>
  <c r="C118" i="6"/>
  <c r="B118" i="6"/>
  <c r="A118" i="6"/>
  <c r="Z117" i="6"/>
  <c r="Y117" i="6"/>
  <c r="W117" i="6"/>
  <c r="L117" i="6"/>
  <c r="Q117" i="6" s="1"/>
  <c r="L116" i="6"/>
  <c r="G116" i="6"/>
  <c r="E116" i="6"/>
  <c r="J115" i="6"/>
  <c r="E115" i="6"/>
  <c r="J114" i="6"/>
  <c r="E114" i="6"/>
  <c r="K113" i="6"/>
  <c r="J113" i="6"/>
  <c r="H113" i="6"/>
  <c r="R113" i="6" s="1"/>
  <c r="G113" i="6"/>
  <c r="F113" i="6"/>
  <c r="K112" i="6"/>
  <c r="J112" i="6"/>
  <c r="H112" i="6"/>
  <c r="G112" i="6"/>
  <c r="F112" i="6"/>
  <c r="K111" i="6"/>
  <c r="J111" i="6"/>
  <c r="H111" i="6"/>
  <c r="R111" i="6" s="1"/>
  <c r="G111" i="6"/>
  <c r="F111" i="6"/>
  <c r="C110" i="6"/>
  <c r="V109" i="6"/>
  <c r="K115" i="6" s="1"/>
  <c r="T109" i="6"/>
  <c r="K114" i="6" s="1"/>
  <c r="U109" i="6"/>
  <c r="H115" i="6" s="1"/>
  <c r="S109" i="6"/>
  <c r="H114" i="6" s="1"/>
  <c r="F109" i="6"/>
  <c r="E109" i="6"/>
  <c r="D109" i="6"/>
  <c r="I109" i="6"/>
  <c r="C109" i="6"/>
  <c r="B109" i="6"/>
  <c r="A109" i="6"/>
  <c r="Z108" i="6"/>
  <c r="Y108" i="6"/>
  <c r="W108" i="6"/>
  <c r="L108" i="6"/>
  <c r="Q108" i="6" s="1"/>
  <c r="L107" i="6"/>
  <c r="G107" i="6"/>
  <c r="E107" i="6"/>
  <c r="J106" i="6"/>
  <c r="E106" i="6"/>
  <c r="J105" i="6"/>
  <c r="E105" i="6"/>
  <c r="K104" i="6"/>
  <c r="J104" i="6"/>
  <c r="H104" i="6"/>
  <c r="R104" i="6" s="1"/>
  <c r="G104" i="6"/>
  <c r="F104" i="6"/>
  <c r="K103" i="6"/>
  <c r="J103" i="6"/>
  <c r="H103" i="6"/>
  <c r="G103" i="6"/>
  <c r="F103" i="6"/>
  <c r="K102" i="6"/>
  <c r="J102" i="6"/>
  <c r="H102" i="6"/>
  <c r="R102" i="6" s="1"/>
  <c r="G102" i="6"/>
  <c r="F102" i="6"/>
  <c r="C101" i="6"/>
  <c r="V100" i="6"/>
  <c r="K106" i="6" s="1"/>
  <c r="T100" i="6"/>
  <c r="K105" i="6" s="1"/>
  <c r="U100" i="6"/>
  <c r="H106" i="6" s="1"/>
  <c r="S100" i="6"/>
  <c r="H105" i="6" s="1"/>
  <c r="G108" i="6" s="1"/>
  <c r="F100" i="6"/>
  <c r="E100" i="6"/>
  <c r="D100" i="6"/>
  <c r="I100" i="6"/>
  <c r="C100" i="6"/>
  <c r="B100" i="6"/>
  <c r="A100" i="6"/>
  <c r="Z99" i="6"/>
  <c r="Y99" i="6"/>
  <c r="W99" i="6"/>
  <c r="L99" i="6"/>
  <c r="Q99" i="6" s="1"/>
  <c r="L98" i="6"/>
  <c r="G98" i="6"/>
  <c r="E98" i="6"/>
  <c r="J97" i="6"/>
  <c r="E97" i="6"/>
  <c r="J96" i="6"/>
  <c r="E96" i="6"/>
  <c r="K95" i="6"/>
  <c r="J95" i="6"/>
  <c r="H95" i="6"/>
  <c r="G95" i="6"/>
  <c r="F95" i="6"/>
  <c r="K94" i="6"/>
  <c r="J94" i="6"/>
  <c r="R94" i="6"/>
  <c r="H94" i="6"/>
  <c r="G94" i="6"/>
  <c r="F94" i="6"/>
  <c r="C93" i="6"/>
  <c r="V92" i="6"/>
  <c r="K97" i="6" s="1"/>
  <c r="T92" i="6"/>
  <c r="K96" i="6" s="1"/>
  <c r="U92" i="6"/>
  <c r="H97" i="6" s="1"/>
  <c r="S92" i="6"/>
  <c r="H96" i="6" s="1"/>
  <c r="F92" i="6"/>
  <c r="E92" i="6"/>
  <c r="D92" i="6"/>
  <c r="I92" i="6"/>
  <c r="C92" i="6"/>
  <c r="B92" i="6"/>
  <c r="A92" i="6"/>
  <c r="Z91" i="6"/>
  <c r="Y91" i="6"/>
  <c r="W91" i="6"/>
  <c r="L91" i="6"/>
  <c r="Q91" i="6" s="1"/>
  <c r="L90" i="6"/>
  <c r="G90" i="6"/>
  <c r="E90" i="6"/>
  <c r="J89" i="6"/>
  <c r="E89" i="6"/>
  <c r="J88" i="6"/>
  <c r="E88" i="6"/>
  <c r="K87" i="6"/>
  <c r="J87" i="6"/>
  <c r="H87" i="6"/>
  <c r="G87" i="6"/>
  <c r="F87" i="6"/>
  <c r="K86" i="6"/>
  <c r="J86" i="6"/>
  <c r="H86" i="6"/>
  <c r="R86" i="6" s="1"/>
  <c r="G86" i="6"/>
  <c r="F86" i="6"/>
  <c r="C85" i="6"/>
  <c r="V84" i="6"/>
  <c r="K89" i="6" s="1"/>
  <c r="T84" i="6"/>
  <c r="K88" i="6" s="1"/>
  <c r="U84" i="6"/>
  <c r="H89" i="6" s="1"/>
  <c r="S84" i="6"/>
  <c r="H88" i="6" s="1"/>
  <c r="F84" i="6"/>
  <c r="E84" i="6"/>
  <c r="D84" i="6"/>
  <c r="I84" i="6"/>
  <c r="C84" i="6"/>
  <c r="B84" i="6"/>
  <c r="A84" i="6"/>
  <c r="Z83" i="6"/>
  <c r="Y83" i="6"/>
  <c r="W83" i="6"/>
  <c r="L83" i="6"/>
  <c r="Q83" i="6" s="1"/>
  <c r="L82" i="6"/>
  <c r="G82" i="6"/>
  <c r="E82" i="6"/>
  <c r="J81" i="6"/>
  <c r="E81" i="6"/>
  <c r="J80" i="6"/>
  <c r="E80" i="6"/>
  <c r="K79" i="6"/>
  <c r="J79" i="6"/>
  <c r="H79" i="6"/>
  <c r="R79" i="6" s="1"/>
  <c r="G79" i="6"/>
  <c r="F79" i="6"/>
  <c r="K78" i="6"/>
  <c r="J78" i="6"/>
  <c r="H78" i="6"/>
  <c r="G78" i="6"/>
  <c r="F78" i="6"/>
  <c r="K77" i="6"/>
  <c r="J77" i="6"/>
  <c r="H77" i="6"/>
  <c r="R77" i="6" s="1"/>
  <c r="G77" i="6"/>
  <c r="F77" i="6"/>
  <c r="C76" i="6"/>
  <c r="V75" i="6"/>
  <c r="K81" i="6" s="1"/>
  <c r="T75" i="6"/>
  <c r="K80" i="6" s="1"/>
  <c r="U75" i="6"/>
  <c r="H81" i="6" s="1"/>
  <c r="S75" i="6"/>
  <c r="H80" i="6" s="1"/>
  <c r="F75" i="6"/>
  <c r="E75" i="6"/>
  <c r="D75" i="6"/>
  <c r="I75" i="6"/>
  <c r="C75" i="6"/>
  <c r="B75" i="6"/>
  <c r="A75" i="6"/>
  <c r="Z74" i="6"/>
  <c r="Y74" i="6"/>
  <c r="W74" i="6"/>
  <c r="L74" i="6"/>
  <c r="Q74" i="6" s="1"/>
  <c r="L73" i="6"/>
  <c r="G73" i="6"/>
  <c r="E73" i="6"/>
  <c r="J72" i="6"/>
  <c r="E72" i="6"/>
  <c r="J71" i="6"/>
  <c r="E71" i="6"/>
  <c r="K70" i="6"/>
  <c r="J70" i="6"/>
  <c r="H70" i="6"/>
  <c r="R70" i="6" s="1"/>
  <c r="G70" i="6"/>
  <c r="F70" i="6"/>
  <c r="V69" i="6"/>
  <c r="K72" i="6" s="1"/>
  <c r="T69" i="6"/>
  <c r="K71" i="6" s="1"/>
  <c r="U69" i="6"/>
  <c r="H72" i="6" s="1"/>
  <c r="S69" i="6"/>
  <c r="H71" i="6" s="1"/>
  <c r="F69" i="6"/>
  <c r="E69" i="6"/>
  <c r="D69" i="6"/>
  <c r="I69" i="6"/>
  <c r="C69" i="6"/>
  <c r="B69" i="6"/>
  <c r="A69" i="6"/>
  <c r="Z68" i="6"/>
  <c r="Y68" i="6"/>
  <c r="X68" i="6"/>
  <c r="L68" i="6"/>
  <c r="Q68" i="6" s="1"/>
  <c r="L67" i="6"/>
  <c r="G67" i="6"/>
  <c r="E67" i="6"/>
  <c r="J66" i="6"/>
  <c r="E66" i="6"/>
  <c r="J65" i="6"/>
  <c r="E65" i="6"/>
  <c r="K64" i="6"/>
  <c r="J64" i="6"/>
  <c r="H64" i="6"/>
  <c r="R64" i="6" s="1"/>
  <c r="G64" i="6"/>
  <c r="F64" i="6"/>
  <c r="V63" i="6"/>
  <c r="K66" i="6" s="1"/>
  <c r="T63" i="6"/>
  <c r="K65" i="6" s="1"/>
  <c r="U63" i="6"/>
  <c r="H66" i="6" s="1"/>
  <c r="S63" i="6"/>
  <c r="H65" i="6" s="1"/>
  <c r="G68" i="6" s="1"/>
  <c r="F63" i="6"/>
  <c r="E63" i="6"/>
  <c r="D63" i="6"/>
  <c r="I63" i="6"/>
  <c r="C63" i="6"/>
  <c r="B63" i="6"/>
  <c r="A63" i="6"/>
  <c r="Z62" i="6"/>
  <c r="Y62" i="6"/>
  <c r="X62" i="6"/>
  <c r="L62" i="6"/>
  <c r="Q62" i="6" s="1"/>
  <c r="L61" i="6"/>
  <c r="G61" i="6"/>
  <c r="E61" i="6"/>
  <c r="J60" i="6"/>
  <c r="E60" i="6"/>
  <c r="J59" i="6"/>
  <c r="E59" i="6"/>
  <c r="K58" i="6"/>
  <c r="J58" i="6"/>
  <c r="H58" i="6"/>
  <c r="R58" i="6" s="1"/>
  <c r="G58" i="6"/>
  <c r="F58" i="6"/>
  <c r="C57" i="6"/>
  <c r="V56" i="6"/>
  <c r="K60" i="6" s="1"/>
  <c r="T56" i="6"/>
  <c r="K59" i="6" s="1"/>
  <c r="U56" i="6"/>
  <c r="H60" i="6" s="1"/>
  <c r="S56" i="6"/>
  <c r="H59" i="6" s="1"/>
  <c r="F56" i="6"/>
  <c r="E56" i="6"/>
  <c r="D56" i="6"/>
  <c r="I56" i="6"/>
  <c r="C56" i="6"/>
  <c r="B56" i="6"/>
  <c r="A56" i="6"/>
  <c r="Z55" i="6"/>
  <c r="Y55" i="6"/>
  <c r="X55" i="6"/>
  <c r="L55" i="6"/>
  <c r="Q55" i="6" s="1"/>
  <c r="L54" i="6"/>
  <c r="G54" i="6"/>
  <c r="E54" i="6"/>
  <c r="J53" i="6"/>
  <c r="E53" i="6"/>
  <c r="J52" i="6"/>
  <c r="E52" i="6"/>
  <c r="K51" i="6"/>
  <c r="J51" i="6"/>
  <c r="H51" i="6"/>
  <c r="R51" i="6" s="1"/>
  <c r="G51" i="6"/>
  <c r="F51" i="6"/>
  <c r="C50" i="6"/>
  <c r="V49" i="6"/>
  <c r="K53" i="6" s="1"/>
  <c r="T49" i="6"/>
  <c r="K52" i="6" s="1"/>
  <c r="U49" i="6"/>
  <c r="H53" i="6" s="1"/>
  <c r="S49" i="6"/>
  <c r="H52" i="6" s="1"/>
  <c r="F49" i="6"/>
  <c r="E49" i="6"/>
  <c r="D49" i="6"/>
  <c r="I49" i="6"/>
  <c r="C49" i="6"/>
  <c r="B49" i="6"/>
  <c r="A49" i="6"/>
  <c r="Z48" i="6"/>
  <c r="Y48" i="6"/>
  <c r="X48" i="6"/>
  <c r="L48" i="6"/>
  <c r="Q48" i="6" s="1"/>
  <c r="K46" i="6"/>
  <c r="J47" i="6"/>
  <c r="E47" i="6"/>
  <c r="J46" i="6"/>
  <c r="E46" i="6"/>
  <c r="K45" i="6"/>
  <c r="J45" i="6"/>
  <c r="H45" i="6"/>
  <c r="R45" i="6" s="1"/>
  <c r="G45" i="6"/>
  <c r="F45" i="6"/>
  <c r="K44" i="6"/>
  <c r="J44" i="6"/>
  <c r="H44" i="6"/>
  <c r="G44" i="6"/>
  <c r="F44" i="6"/>
  <c r="C43" i="6"/>
  <c r="V42" i="6"/>
  <c r="K47" i="6" s="1"/>
  <c r="T42" i="6"/>
  <c r="U42" i="6"/>
  <c r="H47" i="6" s="1"/>
  <c r="S42" i="6"/>
  <c r="H46" i="6" s="1"/>
  <c r="F42" i="6"/>
  <c r="E42" i="6"/>
  <c r="D42" i="6"/>
  <c r="I42" i="6"/>
  <c r="C42" i="6"/>
  <c r="B42" i="6"/>
  <c r="A42" i="6"/>
  <c r="Z41" i="6"/>
  <c r="Y41" i="6"/>
  <c r="X41" i="6"/>
  <c r="L41" i="6"/>
  <c r="Q41" i="6" s="1"/>
  <c r="L40" i="6"/>
  <c r="G40" i="6"/>
  <c r="E40" i="6"/>
  <c r="J39" i="6"/>
  <c r="E39" i="6"/>
  <c r="J38" i="6"/>
  <c r="E38" i="6"/>
  <c r="K37" i="6"/>
  <c r="J37" i="6"/>
  <c r="H37" i="6"/>
  <c r="R37" i="6" s="1"/>
  <c r="G37" i="6"/>
  <c r="F37" i="6"/>
  <c r="K36" i="6"/>
  <c r="J36" i="6"/>
  <c r="H36" i="6"/>
  <c r="G36" i="6"/>
  <c r="F36" i="6"/>
  <c r="K35" i="6"/>
  <c r="J35" i="6"/>
  <c r="H35" i="6"/>
  <c r="R35" i="6" s="1"/>
  <c r="G35" i="6"/>
  <c r="F35" i="6"/>
  <c r="C34" i="6"/>
  <c r="V33" i="6"/>
  <c r="K39" i="6" s="1"/>
  <c r="T33" i="6"/>
  <c r="K38" i="6" s="1"/>
  <c r="U33" i="6"/>
  <c r="H39" i="6" s="1"/>
  <c r="S33" i="6"/>
  <c r="H38" i="6" s="1"/>
  <c r="F33" i="6"/>
  <c r="E33" i="6"/>
  <c r="D33" i="6"/>
  <c r="I33" i="6"/>
  <c r="C33" i="6"/>
  <c r="B33" i="6"/>
  <c r="A33" i="6"/>
  <c r="AE18" i="6"/>
  <c r="A18" i="6"/>
  <c r="AD15" i="6"/>
  <c r="B15" i="6"/>
  <c r="B6" i="6"/>
  <c r="A1" i="6"/>
  <c r="O194" i="6" l="1"/>
  <c r="J55" i="6"/>
  <c r="P55" i="6" s="1"/>
  <c r="G91" i="6"/>
  <c r="O91" i="6" s="1"/>
  <c r="K176" i="6"/>
  <c r="W188" i="6"/>
  <c r="G99" i="6"/>
  <c r="J150" i="6"/>
  <c r="P150" i="6" s="1"/>
  <c r="O212" i="6"/>
  <c r="O200" i="6"/>
  <c r="J108" i="6"/>
  <c r="P108" i="6" s="1"/>
  <c r="J159" i="6"/>
  <c r="P159" i="6" s="1"/>
  <c r="H177" i="6"/>
  <c r="W185" i="6"/>
  <c r="O197" i="6"/>
  <c r="J41" i="6"/>
  <c r="P41" i="6" s="1"/>
  <c r="J74" i="6"/>
  <c r="P74" i="6" s="1"/>
  <c r="G117" i="6"/>
  <c r="X117" i="6" s="1"/>
  <c r="G126" i="6"/>
  <c r="G135" i="6"/>
  <c r="X135" i="6" s="1"/>
  <c r="J169" i="6"/>
  <c r="P169" i="6" s="1"/>
  <c r="K177" i="6"/>
  <c r="J62" i="6"/>
  <c r="P62" i="6" s="1"/>
  <c r="G83" i="6"/>
  <c r="O83" i="6" s="1"/>
  <c r="G25" i="6"/>
  <c r="G62" i="6"/>
  <c r="O62" i="6" s="1"/>
  <c r="G150" i="6"/>
  <c r="H176" i="6"/>
  <c r="G41" i="6"/>
  <c r="O41" i="6" s="1"/>
  <c r="G26" i="6"/>
  <c r="G48" i="6"/>
  <c r="G55" i="6"/>
  <c r="W55" i="6" s="1"/>
  <c r="J68" i="6"/>
  <c r="P68" i="6" s="1"/>
  <c r="G74" i="6"/>
  <c r="O74" i="6" s="1"/>
  <c r="J91" i="6"/>
  <c r="P91" i="6" s="1"/>
  <c r="J117" i="6"/>
  <c r="P117" i="6" s="1"/>
  <c r="J126" i="6"/>
  <c r="P126" i="6" s="1"/>
  <c r="J135" i="6"/>
  <c r="P135" i="6" s="1"/>
  <c r="J141" i="6"/>
  <c r="P141" i="6" s="1"/>
  <c r="O206" i="6"/>
  <c r="W209" i="6"/>
  <c r="O48" i="6"/>
  <c r="W48" i="6"/>
  <c r="X99" i="6"/>
  <c r="O99" i="6"/>
  <c r="O68" i="6"/>
  <c r="W68" i="6"/>
  <c r="O126" i="6"/>
  <c r="X126" i="6"/>
  <c r="G141" i="6"/>
  <c r="O55" i="6"/>
  <c r="J99" i="6"/>
  <c r="P99" i="6" s="1"/>
  <c r="L226" i="6"/>
  <c r="X83" i="6"/>
  <c r="X91" i="6"/>
  <c r="X108" i="6"/>
  <c r="O108" i="6"/>
  <c r="L214" i="6"/>
  <c r="G28" i="6"/>
  <c r="J48" i="6"/>
  <c r="P48" i="6" s="1"/>
  <c r="J83" i="6"/>
  <c r="P83" i="6" s="1"/>
  <c r="X150" i="6"/>
  <c r="O150" i="6"/>
  <c r="G159" i="6"/>
  <c r="J214" i="6"/>
  <c r="L238" i="6"/>
  <c r="W169" i="6"/>
  <c r="W191" i="6"/>
  <c r="W203" i="6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" i="3"/>
  <c r="Y1" i="3"/>
  <c r="CY1" i="3"/>
  <c r="CZ1" i="3"/>
  <c r="DB1" i="3" s="1"/>
  <c r="DA1" i="3"/>
  <c r="DC1" i="3"/>
  <c r="A2" i="3"/>
  <c r="Y2" i="3"/>
  <c r="CY2" i="3"/>
  <c r="CZ2" i="3"/>
  <c r="DB2" i="3" s="1"/>
  <c r="DA2" i="3"/>
  <c r="DC2" i="3"/>
  <c r="A3" i="3"/>
  <c r="Y3" i="3"/>
  <c r="CY3" i="3"/>
  <c r="CZ3" i="3"/>
  <c r="DA3" i="3"/>
  <c r="DB3" i="3"/>
  <c r="DC3" i="3"/>
  <c r="A4" i="3"/>
  <c r="Y4" i="3"/>
  <c r="CY4" i="3"/>
  <c r="CZ4" i="3"/>
  <c r="DB4" i="3" s="1"/>
  <c r="DA4" i="3"/>
  <c r="DC4" i="3"/>
  <c r="A5" i="3"/>
  <c r="Y5" i="3"/>
  <c r="CY5" i="3"/>
  <c r="CZ5" i="3"/>
  <c r="DA5" i="3"/>
  <c r="DB5" i="3"/>
  <c r="DC5" i="3"/>
  <c r="A6" i="3"/>
  <c r="Y6" i="3"/>
  <c r="CY6" i="3"/>
  <c r="CZ6" i="3"/>
  <c r="DB6" i="3" s="1"/>
  <c r="DA6" i="3"/>
  <c r="DC6" i="3"/>
  <c r="A7" i="3"/>
  <c r="Y7" i="3"/>
  <c r="CY7" i="3"/>
  <c r="CZ7" i="3"/>
  <c r="DB7" i="3" s="1"/>
  <c r="DA7" i="3"/>
  <c r="DC7" i="3"/>
  <c r="A8" i="3"/>
  <c r="Y8" i="3"/>
  <c r="CU8" i="3"/>
  <c r="CV8" i="3"/>
  <c r="CX8" i="3"/>
  <c r="DI8" i="3" s="1"/>
  <c r="DJ8" i="3" s="1"/>
  <c r="CY8" i="3"/>
  <c r="CZ8" i="3"/>
  <c r="DA8" i="3"/>
  <c r="DB8" i="3"/>
  <c r="DC8" i="3"/>
  <c r="DG8" i="3"/>
  <c r="DH8" i="3"/>
  <c r="A9" i="3"/>
  <c r="Y9" i="3"/>
  <c r="CX9" i="3" s="1"/>
  <c r="CY9" i="3"/>
  <c r="CZ9" i="3"/>
  <c r="DB9" i="3" s="1"/>
  <c r="DA9" i="3"/>
  <c r="DC9" i="3"/>
  <c r="DF9" i="3"/>
  <c r="DJ9" i="3"/>
  <c r="A10" i="3"/>
  <c r="Y10" i="3"/>
  <c r="CX10" i="3"/>
  <c r="DG10" i="3" s="1"/>
  <c r="CY10" i="3"/>
  <c r="CZ10" i="3"/>
  <c r="DB10" i="3" s="1"/>
  <c r="DA10" i="3"/>
  <c r="DC10" i="3"/>
  <c r="DF10" i="3"/>
  <c r="DH10" i="3"/>
  <c r="DI10" i="3"/>
  <c r="DJ10" i="3"/>
  <c r="A11" i="3"/>
  <c r="Y11" i="3"/>
  <c r="CX11" i="3"/>
  <c r="CY11" i="3"/>
  <c r="CZ11" i="3"/>
  <c r="DA11" i="3"/>
  <c r="DB11" i="3"/>
  <c r="DC11" i="3"/>
  <c r="DH11" i="3"/>
  <c r="A12" i="3"/>
  <c r="Y12" i="3"/>
  <c r="CU12" i="3"/>
  <c r="CY12" i="3"/>
  <c r="CZ12" i="3"/>
  <c r="DB12" i="3" s="1"/>
  <c r="DA12" i="3"/>
  <c r="DC12" i="3"/>
  <c r="A13" i="3"/>
  <c r="Y13" i="3"/>
  <c r="CX13" i="3"/>
  <c r="DH13" i="3" s="1"/>
  <c r="CY13" i="3"/>
  <c r="CZ13" i="3"/>
  <c r="DA13" i="3"/>
  <c r="DB13" i="3"/>
  <c r="DC13" i="3"/>
  <c r="A14" i="3"/>
  <c r="Y14" i="3"/>
  <c r="CX14" i="3" s="1"/>
  <c r="DG14" i="3" s="1"/>
  <c r="CY14" i="3"/>
  <c r="CZ14" i="3"/>
  <c r="DA14" i="3"/>
  <c r="DB14" i="3"/>
  <c r="DC14" i="3"/>
  <c r="A15" i="3"/>
  <c r="Y15" i="3"/>
  <c r="CX15" i="3" s="1"/>
  <c r="DF15" i="3" s="1"/>
  <c r="DJ15" i="3" s="1"/>
  <c r="CY15" i="3"/>
  <c r="CZ15" i="3"/>
  <c r="DB15" i="3" s="1"/>
  <c r="DA15" i="3"/>
  <c r="DC15" i="3"/>
  <c r="A16" i="3"/>
  <c r="Y16" i="3"/>
  <c r="CX16" i="3"/>
  <c r="DG16" i="3" s="1"/>
  <c r="CY16" i="3"/>
  <c r="CZ16" i="3"/>
  <c r="DB16" i="3" s="1"/>
  <c r="DA16" i="3"/>
  <c r="DC16" i="3"/>
  <c r="DF16" i="3"/>
  <c r="DH16" i="3"/>
  <c r="DI16" i="3"/>
  <c r="DJ16" i="3"/>
  <c r="A17" i="3"/>
  <c r="Y17" i="3"/>
  <c r="CY17" i="3"/>
  <c r="CZ17" i="3"/>
  <c r="DB17" i="3" s="1"/>
  <c r="DA17" i="3"/>
  <c r="DC17" i="3"/>
  <c r="A18" i="3"/>
  <c r="Y18" i="3"/>
  <c r="CY18" i="3"/>
  <c r="CZ18" i="3"/>
  <c r="DB18" i="3" s="1"/>
  <c r="DA18" i="3"/>
  <c r="DC18" i="3"/>
  <c r="A19" i="3"/>
  <c r="Y19" i="3"/>
  <c r="CY19" i="3"/>
  <c r="CZ19" i="3"/>
  <c r="DA19" i="3"/>
  <c r="DB19" i="3"/>
  <c r="DC19" i="3"/>
  <c r="A20" i="3"/>
  <c r="Y20" i="3"/>
  <c r="CY20" i="3"/>
  <c r="CZ20" i="3"/>
  <c r="DB20" i="3" s="1"/>
  <c r="DA20" i="3"/>
  <c r="DC20" i="3"/>
  <c r="A21" i="3"/>
  <c r="Y21" i="3"/>
  <c r="CY21" i="3"/>
  <c r="CZ21" i="3"/>
  <c r="DA21" i="3"/>
  <c r="DB21" i="3"/>
  <c r="DC21" i="3"/>
  <c r="A22" i="3"/>
  <c r="Y22" i="3"/>
  <c r="CY22" i="3"/>
  <c r="CZ22" i="3"/>
  <c r="DB22" i="3" s="1"/>
  <c r="DA22" i="3"/>
  <c r="DC22" i="3"/>
  <c r="A23" i="3"/>
  <c r="Y23" i="3"/>
  <c r="CY23" i="3"/>
  <c r="CZ23" i="3"/>
  <c r="DA23" i="3"/>
  <c r="DB23" i="3"/>
  <c r="DC23" i="3"/>
  <c r="A24" i="3"/>
  <c r="Y24" i="3"/>
  <c r="CY24" i="3"/>
  <c r="CZ24" i="3"/>
  <c r="DA24" i="3"/>
  <c r="DB24" i="3"/>
  <c r="DC24" i="3"/>
  <c r="A25" i="3"/>
  <c r="Y25" i="3"/>
  <c r="CY25" i="3"/>
  <c r="CZ25" i="3"/>
  <c r="DB25" i="3" s="1"/>
  <c r="DA25" i="3"/>
  <c r="DC25" i="3"/>
  <c r="A26" i="3"/>
  <c r="Y26" i="3"/>
  <c r="CY26" i="3"/>
  <c r="CZ26" i="3"/>
  <c r="DB26" i="3" s="1"/>
  <c r="DA26" i="3"/>
  <c r="DC26" i="3"/>
  <c r="A27" i="3"/>
  <c r="Y27" i="3"/>
  <c r="CY27" i="3"/>
  <c r="CZ27" i="3"/>
  <c r="DB27" i="3" s="1"/>
  <c r="DA27" i="3"/>
  <c r="DC27" i="3"/>
  <c r="A28" i="3"/>
  <c r="Y28" i="3"/>
  <c r="CY28" i="3"/>
  <c r="CZ28" i="3"/>
  <c r="DA28" i="3"/>
  <c r="DB28" i="3"/>
  <c r="DC28" i="3"/>
  <c r="A29" i="3"/>
  <c r="Y29" i="3"/>
  <c r="CY29" i="3"/>
  <c r="CZ29" i="3"/>
  <c r="DA29" i="3"/>
  <c r="DB29" i="3"/>
  <c r="DC29" i="3"/>
  <c r="A30" i="3"/>
  <c r="Y30" i="3"/>
  <c r="CY30" i="3"/>
  <c r="CZ30" i="3"/>
  <c r="DA30" i="3"/>
  <c r="DB30" i="3"/>
  <c r="DC30" i="3"/>
  <c r="A31" i="3"/>
  <c r="Y31" i="3"/>
  <c r="CY31" i="3"/>
  <c r="CZ31" i="3"/>
  <c r="DB31" i="3" s="1"/>
  <c r="DA31" i="3"/>
  <c r="DC31" i="3"/>
  <c r="A32" i="3"/>
  <c r="Y32" i="3"/>
  <c r="CY32" i="3"/>
  <c r="CZ32" i="3"/>
  <c r="DB32" i="3" s="1"/>
  <c r="DA32" i="3"/>
  <c r="DC32" i="3"/>
  <c r="A33" i="3"/>
  <c r="Y33" i="3"/>
  <c r="CY33" i="3"/>
  <c r="CZ33" i="3"/>
  <c r="DB33" i="3" s="1"/>
  <c r="DA33" i="3"/>
  <c r="DC33" i="3"/>
  <c r="A34" i="3"/>
  <c r="Y34" i="3"/>
  <c r="CY34" i="3"/>
  <c r="CZ34" i="3"/>
  <c r="DB34" i="3" s="1"/>
  <c r="DA34" i="3"/>
  <c r="DC34" i="3"/>
  <c r="A35" i="3"/>
  <c r="Y35" i="3"/>
  <c r="CY35" i="3"/>
  <c r="CZ35" i="3"/>
  <c r="DA35" i="3"/>
  <c r="DB35" i="3"/>
  <c r="DC35" i="3"/>
  <c r="A36" i="3"/>
  <c r="Y36" i="3"/>
  <c r="CY36" i="3"/>
  <c r="CZ36" i="3"/>
  <c r="DB36" i="3" s="1"/>
  <c r="DA36" i="3"/>
  <c r="DC36" i="3"/>
  <c r="A37" i="3"/>
  <c r="Y37" i="3"/>
  <c r="CY37" i="3"/>
  <c r="CZ37" i="3"/>
  <c r="DA37" i="3"/>
  <c r="DB37" i="3"/>
  <c r="DC37" i="3"/>
  <c r="A38" i="3"/>
  <c r="Y38" i="3"/>
  <c r="CY38" i="3"/>
  <c r="CZ38" i="3"/>
  <c r="DB38" i="3" s="1"/>
  <c r="DA38" i="3"/>
  <c r="DC38" i="3"/>
  <c r="A39" i="3"/>
  <c r="Y39" i="3"/>
  <c r="CY39" i="3"/>
  <c r="CZ39" i="3"/>
  <c r="DA39" i="3"/>
  <c r="DB39" i="3"/>
  <c r="DC39" i="3"/>
  <c r="A40" i="3"/>
  <c r="Y40" i="3"/>
  <c r="CY40" i="3"/>
  <c r="CZ40" i="3"/>
  <c r="DA40" i="3"/>
  <c r="DB40" i="3"/>
  <c r="DC40" i="3"/>
  <c r="A41" i="3"/>
  <c r="Y41" i="3"/>
  <c r="CY41" i="3"/>
  <c r="CZ41" i="3"/>
  <c r="DB41" i="3" s="1"/>
  <c r="DA41" i="3"/>
  <c r="DC41" i="3"/>
  <c r="A42" i="3"/>
  <c r="Y42" i="3"/>
  <c r="CY42" i="3"/>
  <c r="CZ42" i="3"/>
  <c r="DB42" i="3" s="1"/>
  <c r="DA42" i="3"/>
  <c r="DC42" i="3"/>
  <c r="A43" i="3"/>
  <c r="Y43" i="3"/>
  <c r="CY43" i="3"/>
  <c r="CZ43" i="3"/>
  <c r="DA43" i="3"/>
  <c r="DB43" i="3"/>
  <c r="DC43" i="3"/>
  <c r="A44" i="3"/>
  <c r="Y44" i="3"/>
  <c r="CY44" i="3"/>
  <c r="CZ44" i="3"/>
  <c r="DA44" i="3"/>
  <c r="DB44" i="3"/>
  <c r="DC44" i="3"/>
  <c r="A45" i="3"/>
  <c r="Y45" i="3"/>
  <c r="CY45" i="3"/>
  <c r="CZ45" i="3"/>
  <c r="DA45" i="3"/>
  <c r="DB45" i="3"/>
  <c r="DC45" i="3"/>
  <c r="A46" i="3"/>
  <c r="Y46" i="3"/>
  <c r="CY46" i="3"/>
  <c r="CZ46" i="3"/>
  <c r="DA46" i="3"/>
  <c r="DB46" i="3"/>
  <c r="DC46" i="3"/>
  <c r="A47" i="3"/>
  <c r="Y47" i="3"/>
  <c r="CY47" i="3"/>
  <c r="CZ47" i="3"/>
  <c r="DB47" i="3" s="1"/>
  <c r="DA47" i="3"/>
  <c r="DC47" i="3"/>
  <c r="A48" i="3"/>
  <c r="Y48" i="3"/>
  <c r="CY48" i="3"/>
  <c r="CZ48" i="3"/>
  <c r="DA48" i="3"/>
  <c r="DB48" i="3"/>
  <c r="DC48" i="3"/>
  <c r="A49" i="3"/>
  <c r="Y49" i="3"/>
  <c r="CY49" i="3"/>
  <c r="CZ49" i="3"/>
  <c r="DA49" i="3"/>
  <c r="DB49" i="3"/>
  <c r="DC49" i="3"/>
  <c r="A50" i="3"/>
  <c r="Y50" i="3"/>
  <c r="CY50" i="3"/>
  <c r="CZ50" i="3"/>
  <c r="DA50" i="3"/>
  <c r="DB50" i="3"/>
  <c r="DC50" i="3"/>
  <c r="A51" i="3"/>
  <c r="Y51" i="3"/>
  <c r="CY51" i="3"/>
  <c r="CZ51" i="3"/>
  <c r="DA51" i="3"/>
  <c r="DB51" i="3"/>
  <c r="DC51" i="3"/>
  <c r="A52" i="3"/>
  <c r="Y52" i="3"/>
  <c r="CY52" i="3"/>
  <c r="CZ52" i="3"/>
  <c r="DB52" i="3" s="1"/>
  <c r="DA52" i="3"/>
  <c r="DC52" i="3"/>
  <c r="A53" i="3"/>
  <c r="Y53" i="3"/>
  <c r="CY53" i="3"/>
  <c r="CZ53" i="3"/>
  <c r="DA53" i="3"/>
  <c r="DB53" i="3"/>
  <c r="DC53" i="3"/>
  <c r="A54" i="3"/>
  <c r="Y54" i="3"/>
  <c r="CY54" i="3"/>
  <c r="CZ54" i="3"/>
  <c r="DB54" i="3" s="1"/>
  <c r="DA54" i="3"/>
  <c r="DC54" i="3"/>
  <c r="A55" i="3"/>
  <c r="Y55" i="3"/>
  <c r="CY55" i="3"/>
  <c r="CZ55" i="3"/>
  <c r="DA55" i="3"/>
  <c r="DB55" i="3"/>
  <c r="DC55" i="3"/>
  <c r="A56" i="3"/>
  <c r="Y56" i="3"/>
  <c r="CY56" i="3"/>
  <c r="CZ56" i="3"/>
  <c r="DB56" i="3" s="1"/>
  <c r="DA56" i="3"/>
  <c r="DC56" i="3"/>
  <c r="A57" i="3"/>
  <c r="Y57" i="3"/>
  <c r="CY57" i="3"/>
  <c r="CZ57" i="3"/>
  <c r="DA57" i="3"/>
  <c r="DB57" i="3"/>
  <c r="DC57" i="3"/>
  <c r="A58" i="3"/>
  <c r="Y58" i="3"/>
  <c r="CY58" i="3"/>
  <c r="CZ58" i="3"/>
  <c r="DB58" i="3" s="1"/>
  <c r="DA58" i="3"/>
  <c r="DC58" i="3"/>
  <c r="A59" i="3"/>
  <c r="Y59" i="3"/>
  <c r="CY59" i="3"/>
  <c r="CZ59" i="3"/>
  <c r="DA59" i="3"/>
  <c r="DB59" i="3"/>
  <c r="DC59" i="3"/>
  <c r="A60" i="3"/>
  <c r="Y60" i="3"/>
  <c r="CY60" i="3"/>
  <c r="CZ60" i="3"/>
  <c r="DB60" i="3" s="1"/>
  <c r="DA60" i="3"/>
  <c r="DC60" i="3"/>
  <c r="A61" i="3"/>
  <c r="Y61" i="3"/>
  <c r="CY61" i="3"/>
  <c r="CZ61" i="3"/>
  <c r="DA61" i="3"/>
  <c r="DB61" i="3"/>
  <c r="DC61" i="3"/>
  <c r="A62" i="3"/>
  <c r="Y62" i="3"/>
  <c r="CY62" i="3"/>
  <c r="CZ62" i="3"/>
  <c r="DA62" i="3"/>
  <c r="DB62" i="3"/>
  <c r="DC62" i="3"/>
  <c r="A63" i="3"/>
  <c r="Y63" i="3"/>
  <c r="CY63" i="3"/>
  <c r="CZ63" i="3"/>
  <c r="DB63" i="3" s="1"/>
  <c r="DA63" i="3"/>
  <c r="DC63" i="3"/>
  <c r="A64" i="3"/>
  <c r="Y64" i="3"/>
  <c r="CY64" i="3"/>
  <c r="CZ64" i="3"/>
  <c r="DB64" i="3" s="1"/>
  <c r="DA64" i="3"/>
  <c r="DC64" i="3"/>
  <c r="A65" i="3"/>
  <c r="Y65" i="3"/>
  <c r="CY65" i="3"/>
  <c r="CZ65" i="3"/>
  <c r="DA65" i="3"/>
  <c r="DB65" i="3"/>
  <c r="DC65" i="3"/>
  <c r="A66" i="3"/>
  <c r="Y66" i="3"/>
  <c r="CV66" i="3" s="1"/>
  <c r="CU66" i="3"/>
  <c r="CX66" i="3"/>
  <c r="DG66" i="3" s="1"/>
  <c r="CY66" i="3"/>
  <c r="CZ66" i="3"/>
  <c r="DB66" i="3" s="1"/>
  <c r="DA66" i="3"/>
  <c r="DC66" i="3"/>
  <c r="DF66" i="3"/>
  <c r="DH66" i="3"/>
  <c r="A67" i="3"/>
  <c r="Y67" i="3"/>
  <c r="CX67" i="3" s="1"/>
  <c r="DI67" i="3" s="1"/>
  <c r="CY67" i="3"/>
  <c r="CZ67" i="3"/>
  <c r="DA67" i="3"/>
  <c r="DB67" i="3"/>
  <c r="DC67" i="3"/>
  <c r="A68" i="3"/>
  <c r="Y68" i="3"/>
  <c r="CX68" i="3"/>
  <c r="DH68" i="3" s="1"/>
  <c r="CY68" i="3"/>
  <c r="CZ68" i="3"/>
  <c r="DA68" i="3"/>
  <c r="DB68" i="3"/>
  <c r="DC68" i="3"/>
  <c r="A69" i="3"/>
  <c r="Y69" i="3"/>
  <c r="CX69" i="3" s="1"/>
  <c r="DG69" i="3" s="1"/>
  <c r="CY69" i="3"/>
  <c r="CZ69" i="3"/>
  <c r="DB69" i="3" s="1"/>
  <c r="DA69" i="3"/>
  <c r="DC69" i="3"/>
  <c r="A70" i="3"/>
  <c r="Y70" i="3"/>
  <c r="CX70" i="3"/>
  <c r="DG70" i="3" s="1"/>
  <c r="CY70" i="3"/>
  <c r="CZ70" i="3"/>
  <c r="DB70" i="3" s="1"/>
  <c r="DA70" i="3"/>
  <c r="DC70" i="3"/>
  <c r="DF70" i="3"/>
  <c r="DJ70" i="3" s="1"/>
  <c r="DH70" i="3"/>
  <c r="A71" i="3"/>
  <c r="Y71" i="3"/>
  <c r="CX71" i="3" s="1"/>
  <c r="CY71" i="3"/>
  <c r="CZ71" i="3"/>
  <c r="DA71" i="3"/>
  <c r="DB71" i="3"/>
  <c r="DC71" i="3"/>
  <c r="A72" i="3"/>
  <c r="Y72" i="3"/>
  <c r="CX72" i="3"/>
  <c r="CY72" i="3"/>
  <c r="CZ72" i="3"/>
  <c r="DA72" i="3"/>
  <c r="DB72" i="3"/>
  <c r="DC72" i="3"/>
  <c r="DH72" i="3"/>
  <c r="A73" i="3"/>
  <c r="Y73" i="3"/>
  <c r="CX73" i="3" s="1"/>
  <c r="CY73" i="3"/>
  <c r="CZ73" i="3"/>
  <c r="DB73" i="3" s="1"/>
  <c r="DA73" i="3"/>
  <c r="DC73" i="3"/>
  <c r="A74" i="3"/>
  <c r="Y74" i="3"/>
  <c r="CX74" i="3"/>
  <c r="DG74" i="3" s="1"/>
  <c r="CY74" i="3"/>
  <c r="CZ74" i="3"/>
  <c r="DB74" i="3" s="1"/>
  <c r="DA74" i="3"/>
  <c r="DC74" i="3"/>
  <c r="DF74" i="3"/>
  <c r="DJ74" i="3" s="1"/>
  <c r="DH74" i="3"/>
  <c r="A75" i="3"/>
  <c r="Y75" i="3"/>
  <c r="CX75" i="3" s="1"/>
  <c r="DG75" i="3" s="1"/>
  <c r="CY75" i="3"/>
  <c r="CZ75" i="3"/>
  <c r="DA75" i="3"/>
  <c r="DB75" i="3"/>
  <c r="DC75" i="3"/>
  <c r="DI75" i="3"/>
  <c r="A76" i="3"/>
  <c r="Y76" i="3"/>
  <c r="CX76" i="3"/>
  <c r="CY76" i="3"/>
  <c r="CZ76" i="3"/>
  <c r="DB76" i="3" s="1"/>
  <c r="DA76" i="3"/>
  <c r="DC76" i="3"/>
  <c r="DF76" i="3"/>
  <c r="DJ76" i="3" s="1"/>
  <c r="DH76" i="3"/>
  <c r="A77" i="3"/>
  <c r="Y77" i="3"/>
  <c r="CY77" i="3"/>
  <c r="CZ77" i="3"/>
  <c r="DA77" i="3"/>
  <c r="DB77" i="3"/>
  <c r="DC77" i="3"/>
  <c r="A78" i="3"/>
  <c r="Y78" i="3"/>
  <c r="CY78" i="3"/>
  <c r="CZ78" i="3"/>
  <c r="DB78" i="3" s="1"/>
  <c r="DA78" i="3"/>
  <c r="DC78" i="3"/>
  <c r="A79" i="3"/>
  <c r="Y79" i="3"/>
  <c r="CY79" i="3"/>
  <c r="CZ79" i="3"/>
  <c r="DB79" i="3" s="1"/>
  <c r="DA79" i="3"/>
  <c r="DC79" i="3"/>
  <c r="A80" i="3"/>
  <c r="Y80" i="3"/>
  <c r="CY80" i="3"/>
  <c r="CZ80" i="3"/>
  <c r="DA80" i="3"/>
  <c r="DB80" i="3"/>
  <c r="DC80" i="3"/>
  <c r="A81" i="3"/>
  <c r="Y81" i="3"/>
  <c r="CY81" i="3"/>
  <c r="CZ81" i="3"/>
  <c r="DA81" i="3"/>
  <c r="DB81" i="3"/>
  <c r="DC81" i="3"/>
  <c r="A82" i="3"/>
  <c r="Y82" i="3"/>
  <c r="CY82" i="3"/>
  <c r="CZ82" i="3"/>
  <c r="DA82" i="3"/>
  <c r="DB82" i="3"/>
  <c r="DC82" i="3"/>
  <c r="A83" i="3"/>
  <c r="Y83" i="3"/>
  <c r="CY83" i="3"/>
  <c r="CZ83" i="3"/>
  <c r="DB83" i="3" s="1"/>
  <c r="DA83" i="3"/>
  <c r="DC83" i="3"/>
  <c r="A84" i="3"/>
  <c r="Y84" i="3"/>
  <c r="CY84" i="3"/>
  <c r="CZ84" i="3"/>
  <c r="DB84" i="3" s="1"/>
  <c r="DA84" i="3"/>
  <c r="DC84" i="3"/>
  <c r="A85" i="3"/>
  <c r="Y85" i="3"/>
  <c r="CY85" i="3"/>
  <c r="CZ85" i="3"/>
  <c r="DA85" i="3"/>
  <c r="DB85" i="3"/>
  <c r="DC85" i="3"/>
  <c r="A86" i="3"/>
  <c r="Y86" i="3"/>
  <c r="CY86" i="3"/>
  <c r="CZ86" i="3"/>
  <c r="DA86" i="3"/>
  <c r="DB86" i="3"/>
  <c r="DC86" i="3"/>
  <c r="A87" i="3"/>
  <c r="Y87" i="3"/>
  <c r="CY87" i="3"/>
  <c r="CZ87" i="3"/>
  <c r="DB87" i="3" s="1"/>
  <c r="DA87" i="3"/>
  <c r="DC87" i="3"/>
  <c r="A88" i="3"/>
  <c r="Y88" i="3"/>
  <c r="CY88" i="3"/>
  <c r="CZ88" i="3"/>
  <c r="DB88" i="3" s="1"/>
  <c r="DA88" i="3"/>
  <c r="DC88" i="3"/>
  <c r="A89" i="3"/>
  <c r="Y89" i="3"/>
  <c r="CY89" i="3"/>
  <c r="CZ89" i="3"/>
  <c r="DA89" i="3"/>
  <c r="DB89" i="3"/>
  <c r="DC89" i="3"/>
  <c r="A90" i="3"/>
  <c r="Y90" i="3"/>
  <c r="CY90" i="3"/>
  <c r="CZ90" i="3"/>
  <c r="DA90" i="3"/>
  <c r="DB90" i="3"/>
  <c r="DC90" i="3"/>
  <c r="A91" i="3"/>
  <c r="Y91" i="3"/>
  <c r="CY91" i="3"/>
  <c r="CZ91" i="3"/>
  <c r="DA91" i="3"/>
  <c r="DB91" i="3"/>
  <c r="DC91" i="3"/>
  <c r="A92" i="3"/>
  <c r="Y92" i="3"/>
  <c r="CY92" i="3"/>
  <c r="CZ92" i="3"/>
  <c r="DA92" i="3"/>
  <c r="DB92" i="3"/>
  <c r="DC92" i="3"/>
  <c r="A93" i="3"/>
  <c r="Y93" i="3"/>
  <c r="CY93" i="3"/>
  <c r="CZ93" i="3"/>
  <c r="DB93" i="3" s="1"/>
  <c r="DA93" i="3"/>
  <c r="DC93" i="3"/>
  <c r="A94" i="3"/>
  <c r="Y94" i="3"/>
  <c r="CY94" i="3"/>
  <c r="CZ94" i="3"/>
  <c r="DA94" i="3"/>
  <c r="DB94" i="3"/>
  <c r="DC94" i="3"/>
  <c r="A95" i="3"/>
  <c r="Y95" i="3"/>
  <c r="CY95" i="3"/>
  <c r="CZ95" i="3"/>
  <c r="DB95" i="3" s="1"/>
  <c r="DA95" i="3"/>
  <c r="DC95" i="3"/>
  <c r="A96" i="3"/>
  <c r="Y96" i="3"/>
  <c r="CY96" i="3"/>
  <c r="CZ96" i="3"/>
  <c r="DA96" i="3"/>
  <c r="DB96" i="3"/>
  <c r="DC96" i="3"/>
  <c r="A97" i="3"/>
  <c r="Y97" i="3"/>
  <c r="CY97" i="3"/>
  <c r="CZ97" i="3"/>
  <c r="DB97" i="3" s="1"/>
  <c r="DA97" i="3"/>
  <c r="DC97" i="3"/>
  <c r="A98" i="3"/>
  <c r="Y98" i="3"/>
  <c r="CY98" i="3"/>
  <c r="CZ98" i="3"/>
  <c r="DA98" i="3"/>
  <c r="DB98" i="3"/>
  <c r="DC98" i="3"/>
  <c r="A99" i="3"/>
  <c r="Y99" i="3"/>
  <c r="CY99" i="3"/>
  <c r="CZ99" i="3"/>
  <c r="DB99" i="3" s="1"/>
  <c r="DA99" i="3"/>
  <c r="DC99" i="3"/>
  <c r="A100" i="3"/>
  <c r="Y100" i="3"/>
  <c r="CY100" i="3"/>
  <c r="CZ100" i="3"/>
  <c r="DA100" i="3"/>
  <c r="DB100" i="3"/>
  <c r="DC100" i="3"/>
  <c r="A101" i="3"/>
  <c r="Y101" i="3"/>
  <c r="CY101" i="3"/>
  <c r="CZ101" i="3"/>
  <c r="DB101" i="3" s="1"/>
  <c r="DA101" i="3"/>
  <c r="DC101" i="3"/>
  <c r="A102" i="3"/>
  <c r="Y102" i="3"/>
  <c r="CY102" i="3"/>
  <c r="CZ102" i="3"/>
  <c r="DB102" i="3" s="1"/>
  <c r="DA102" i="3"/>
  <c r="DC102" i="3"/>
  <c r="A103" i="3"/>
  <c r="Y103" i="3"/>
  <c r="CY103" i="3"/>
  <c r="CZ103" i="3"/>
  <c r="DA103" i="3"/>
  <c r="DB103" i="3"/>
  <c r="DC103" i="3"/>
  <c r="A104" i="3"/>
  <c r="Y104" i="3"/>
  <c r="CY104" i="3"/>
  <c r="CZ104" i="3"/>
  <c r="DA104" i="3"/>
  <c r="DB104" i="3"/>
  <c r="DC104" i="3"/>
  <c r="A105" i="3"/>
  <c r="Y105" i="3"/>
  <c r="CY105" i="3"/>
  <c r="CZ105" i="3"/>
  <c r="DB105" i="3" s="1"/>
  <c r="DA105" i="3"/>
  <c r="DC105" i="3"/>
  <c r="A106" i="3"/>
  <c r="Y106" i="3"/>
  <c r="CY106" i="3"/>
  <c r="CZ106" i="3"/>
  <c r="DB106" i="3" s="1"/>
  <c r="DA106" i="3"/>
  <c r="DC106" i="3"/>
  <c r="A107" i="3"/>
  <c r="Y107" i="3"/>
  <c r="CY107" i="3"/>
  <c r="CZ107" i="3"/>
  <c r="DA107" i="3"/>
  <c r="DB107" i="3"/>
  <c r="DC107" i="3"/>
  <c r="A108" i="3"/>
  <c r="Y108" i="3"/>
  <c r="CY108" i="3"/>
  <c r="CZ108" i="3"/>
  <c r="DB108" i="3" s="1"/>
  <c r="DA108" i="3"/>
  <c r="DC108" i="3"/>
  <c r="A109" i="3"/>
  <c r="Y109" i="3"/>
  <c r="CY109" i="3"/>
  <c r="CZ109" i="3"/>
  <c r="DA109" i="3"/>
  <c r="DB109" i="3"/>
  <c r="DC109" i="3"/>
  <c r="A110" i="3"/>
  <c r="Y110" i="3"/>
  <c r="CY110" i="3"/>
  <c r="CZ110" i="3"/>
  <c r="DB110" i="3" s="1"/>
  <c r="DA110" i="3"/>
  <c r="DC110" i="3"/>
  <c r="A111" i="3"/>
  <c r="Y111" i="3"/>
  <c r="CY111" i="3"/>
  <c r="CZ111" i="3"/>
  <c r="DA111" i="3"/>
  <c r="DB111" i="3"/>
  <c r="DC111" i="3"/>
  <c r="A112" i="3"/>
  <c r="Y112" i="3"/>
  <c r="CY112" i="3"/>
  <c r="CZ112" i="3"/>
  <c r="DA112" i="3"/>
  <c r="DB112" i="3"/>
  <c r="DC112" i="3"/>
  <c r="A113" i="3"/>
  <c r="Y113" i="3"/>
  <c r="CY113" i="3"/>
  <c r="CZ113" i="3"/>
  <c r="DA113" i="3"/>
  <c r="DB113" i="3"/>
  <c r="DC113" i="3"/>
  <c r="A114" i="3"/>
  <c r="Y114" i="3"/>
  <c r="CY114" i="3"/>
  <c r="CZ114" i="3"/>
  <c r="DA114" i="3"/>
  <c r="DB114" i="3"/>
  <c r="DC114" i="3"/>
  <c r="A115" i="3"/>
  <c r="Y115" i="3"/>
  <c r="CY115" i="3"/>
  <c r="CZ115" i="3"/>
  <c r="DB115" i="3" s="1"/>
  <c r="DA115" i="3"/>
  <c r="DC115" i="3"/>
  <c r="A116" i="3"/>
  <c r="Y116" i="3"/>
  <c r="CY116" i="3"/>
  <c r="CZ116" i="3"/>
  <c r="DA116" i="3"/>
  <c r="DB116" i="3"/>
  <c r="DC116" i="3"/>
  <c r="A117" i="3"/>
  <c r="Y117" i="3"/>
  <c r="CY117" i="3"/>
  <c r="CZ117" i="3"/>
  <c r="DA117" i="3"/>
  <c r="DB117" i="3"/>
  <c r="DC117" i="3"/>
  <c r="A118" i="3"/>
  <c r="Y118" i="3"/>
  <c r="CY118" i="3"/>
  <c r="CZ118" i="3"/>
  <c r="DA118" i="3"/>
  <c r="DB118" i="3"/>
  <c r="DC118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I24" i="1"/>
  <c r="K24" i="1"/>
  <c r="AC24" i="1"/>
  <c r="AE24" i="1"/>
  <c r="CS24" i="1" s="1"/>
  <c r="R24" i="1" s="1"/>
  <c r="AF24" i="1"/>
  <c r="AG24" i="1"/>
  <c r="CU24" i="1" s="1"/>
  <c r="T24" i="1" s="1"/>
  <c r="AH24" i="1"/>
  <c r="AI24" i="1"/>
  <c r="CW24" i="1" s="1"/>
  <c r="V24" i="1" s="1"/>
  <c r="AJ24" i="1"/>
  <c r="CR24" i="1"/>
  <c r="Q24" i="1" s="1"/>
  <c r="CT24" i="1"/>
  <c r="S24" i="1" s="1"/>
  <c r="CV24" i="1"/>
  <c r="U24" i="1" s="1"/>
  <c r="CX24" i="1"/>
  <c r="W24" i="1" s="1"/>
  <c r="FR24" i="1"/>
  <c r="GL24" i="1"/>
  <c r="GO24" i="1"/>
  <c r="GP24" i="1"/>
  <c r="GV24" i="1"/>
  <c r="GX24" i="1"/>
  <c r="HC24" i="1"/>
  <c r="C25" i="1"/>
  <c r="D25" i="1"/>
  <c r="I25" i="1"/>
  <c r="K25" i="1"/>
  <c r="AC25" i="1"/>
  <c r="AE25" i="1"/>
  <c r="CS25" i="1" s="1"/>
  <c r="R25" i="1" s="1"/>
  <c r="AF25" i="1"/>
  <c r="AG25" i="1"/>
  <c r="CU25" i="1" s="1"/>
  <c r="T25" i="1" s="1"/>
  <c r="AH25" i="1"/>
  <c r="AI25" i="1"/>
  <c r="CW25" i="1" s="1"/>
  <c r="V25" i="1" s="1"/>
  <c r="AJ25" i="1"/>
  <c r="CR25" i="1"/>
  <c r="Q25" i="1" s="1"/>
  <c r="CT25" i="1"/>
  <c r="S25" i="1" s="1"/>
  <c r="CV25" i="1"/>
  <c r="U25" i="1" s="1"/>
  <c r="CX25" i="1"/>
  <c r="W25" i="1" s="1"/>
  <c r="FR25" i="1"/>
  <c r="GL25" i="1"/>
  <c r="GO25" i="1"/>
  <c r="GP25" i="1"/>
  <c r="GV25" i="1"/>
  <c r="GX25" i="1"/>
  <c r="HC25" i="1"/>
  <c r="C26" i="1"/>
  <c r="D26" i="1"/>
  <c r="I26" i="1"/>
  <c r="CU6" i="3" s="1"/>
  <c r="K26" i="1"/>
  <c r="AC26" i="1"/>
  <c r="AE26" i="1"/>
  <c r="CS26" i="1" s="1"/>
  <c r="R26" i="1" s="1"/>
  <c r="AF26" i="1"/>
  <c r="AG26" i="1"/>
  <c r="CU26" i="1" s="1"/>
  <c r="T26" i="1" s="1"/>
  <c r="AH26" i="1"/>
  <c r="AI26" i="1"/>
  <c r="CW26" i="1" s="1"/>
  <c r="V26" i="1" s="1"/>
  <c r="AJ26" i="1"/>
  <c r="CR26" i="1"/>
  <c r="Q26" i="1" s="1"/>
  <c r="CT26" i="1"/>
  <c r="S26" i="1" s="1"/>
  <c r="CV26" i="1"/>
  <c r="U26" i="1" s="1"/>
  <c r="CX26" i="1"/>
  <c r="W26" i="1" s="1"/>
  <c r="FR26" i="1"/>
  <c r="GL26" i="1"/>
  <c r="GO26" i="1"/>
  <c r="GP26" i="1"/>
  <c r="GV26" i="1"/>
  <c r="GX26" i="1"/>
  <c r="HC26" i="1"/>
  <c r="C27" i="1"/>
  <c r="D27" i="1"/>
  <c r="I27" i="1"/>
  <c r="K27" i="1"/>
  <c r="AC27" i="1"/>
  <c r="AE27" i="1"/>
  <c r="CS27" i="1" s="1"/>
  <c r="R27" i="1" s="1"/>
  <c r="AF27" i="1"/>
  <c r="AG27" i="1"/>
  <c r="CU27" i="1" s="1"/>
  <c r="T27" i="1" s="1"/>
  <c r="AH27" i="1"/>
  <c r="AI27" i="1"/>
  <c r="CW27" i="1" s="1"/>
  <c r="V27" i="1" s="1"/>
  <c r="AJ27" i="1"/>
  <c r="CR27" i="1"/>
  <c r="Q27" i="1" s="1"/>
  <c r="CT27" i="1"/>
  <c r="S27" i="1" s="1"/>
  <c r="CV27" i="1"/>
  <c r="U27" i="1" s="1"/>
  <c r="CX27" i="1"/>
  <c r="W27" i="1" s="1"/>
  <c r="FR27" i="1"/>
  <c r="GL27" i="1"/>
  <c r="GO27" i="1"/>
  <c r="GP27" i="1"/>
  <c r="GV27" i="1"/>
  <c r="GX27" i="1"/>
  <c r="HC27" i="1"/>
  <c r="C28" i="1"/>
  <c r="D28" i="1"/>
  <c r="AC28" i="1"/>
  <c r="CQ28" i="1" s="1"/>
  <c r="P28" i="1" s="1"/>
  <c r="AE28" i="1"/>
  <c r="AD28" i="1" s="1"/>
  <c r="AF28" i="1"/>
  <c r="AG28" i="1"/>
  <c r="CU28" i="1" s="1"/>
  <c r="T28" i="1" s="1"/>
  <c r="AH28" i="1"/>
  <c r="AI28" i="1"/>
  <c r="CW28" i="1" s="1"/>
  <c r="V28" i="1" s="1"/>
  <c r="AJ28" i="1"/>
  <c r="CR28" i="1"/>
  <c r="Q28" i="1" s="1"/>
  <c r="CT28" i="1"/>
  <c r="S28" i="1" s="1"/>
  <c r="CV28" i="1"/>
  <c r="U28" i="1" s="1"/>
  <c r="CX28" i="1"/>
  <c r="W28" i="1" s="1"/>
  <c r="FR28" i="1"/>
  <c r="GL28" i="1"/>
  <c r="GO28" i="1"/>
  <c r="GP28" i="1"/>
  <c r="GV28" i="1"/>
  <c r="HC28" i="1" s="1"/>
  <c r="GX28" i="1" s="1"/>
  <c r="C29" i="1"/>
  <c r="D29" i="1"/>
  <c r="AC29" i="1"/>
  <c r="AE29" i="1"/>
  <c r="CS29" i="1" s="1"/>
  <c r="R29" i="1" s="1"/>
  <c r="AF29" i="1"/>
  <c r="AG29" i="1"/>
  <c r="CU29" i="1" s="1"/>
  <c r="T29" i="1" s="1"/>
  <c r="AH29" i="1"/>
  <c r="AI29" i="1"/>
  <c r="CW29" i="1" s="1"/>
  <c r="V29" i="1" s="1"/>
  <c r="AJ29" i="1"/>
  <c r="CR29" i="1"/>
  <c r="Q29" i="1" s="1"/>
  <c r="CT29" i="1"/>
  <c r="S29" i="1" s="1"/>
  <c r="CV29" i="1"/>
  <c r="U29" i="1" s="1"/>
  <c r="CX29" i="1"/>
  <c r="W29" i="1" s="1"/>
  <c r="FR29" i="1"/>
  <c r="GL29" i="1"/>
  <c r="GN29" i="1"/>
  <c r="GP29" i="1"/>
  <c r="GV29" i="1"/>
  <c r="GX29" i="1"/>
  <c r="HC29" i="1"/>
  <c r="C30" i="1"/>
  <c r="D30" i="1"/>
  <c r="I30" i="1"/>
  <c r="K30" i="1"/>
  <c r="AC30" i="1"/>
  <c r="AE30" i="1"/>
  <c r="CS30" i="1" s="1"/>
  <c r="R30" i="1" s="1"/>
  <c r="AF30" i="1"/>
  <c r="AG30" i="1"/>
  <c r="CU30" i="1" s="1"/>
  <c r="T30" i="1" s="1"/>
  <c r="AH30" i="1"/>
  <c r="AI30" i="1"/>
  <c r="CW30" i="1" s="1"/>
  <c r="V30" i="1" s="1"/>
  <c r="AJ30" i="1"/>
  <c r="CR30" i="1"/>
  <c r="Q30" i="1" s="1"/>
  <c r="CT30" i="1"/>
  <c r="S30" i="1" s="1"/>
  <c r="CV30" i="1"/>
  <c r="U30" i="1" s="1"/>
  <c r="CX30" i="1"/>
  <c r="W30" i="1" s="1"/>
  <c r="FR30" i="1"/>
  <c r="GL30" i="1"/>
  <c r="GN30" i="1"/>
  <c r="GP30" i="1"/>
  <c r="GV30" i="1"/>
  <c r="GX30" i="1"/>
  <c r="HC30" i="1"/>
  <c r="C31" i="1"/>
  <c r="D31" i="1"/>
  <c r="I31" i="1"/>
  <c r="K31" i="1"/>
  <c r="AC31" i="1"/>
  <c r="AE31" i="1"/>
  <c r="CS31" i="1" s="1"/>
  <c r="R31" i="1" s="1"/>
  <c r="AF31" i="1"/>
  <c r="AG31" i="1"/>
  <c r="CU31" i="1" s="1"/>
  <c r="T31" i="1" s="1"/>
  <c r="AH31" i="1"/>
  <c r="AI31" i="1"/>
  <c r="CW31" i="1" s="1"/>
  <c r="V31" i="1" s="1"/>
  <c r="AJ31" i="1"/>
  <c r="CR31" i="1"/>
  <c r="Q31" i="1" s="1"/>
  <c r="CT31" i="1"/>
  <c r="S31" i="1" s="1"/>
  <c r="CV31" i="1"/>
  <c r="U31" i="1" s="1"/>
  <c r="CX31" i="1"/>
  <c r="W31" i="1" s="1"/>
  <c r="FR31" i="1"/>
  <c r="GL31" i="1"/>
  <c r="GN31" i="1"/>
  <c r="GP31" i="1"/>
  <c r="GV31" i="1"/>
  <c r="GX31" i="1"/>
  <c r="HC31" i="1"/>
  <c r="C32" i="1"/>
  <c r="D32" i="1"/>
  <c r="I32" i="1"/>
  <c r="K32" i="1"/>
  <c r="AC32" i="1"/>
  <c r="AE32" i="1"/>
  <c r="CS32" i="1" s="1"/>
  <c r="R32" i="1" s="1"/>
  <c r="AF32" i="1"/>
  <c r="AG32" i="1"/>
  <c r="CU32" i="1" s="1"/>
  <c r="T32" i="1" s="1"/>
  <c r="AH32" i="1"/>
  <c r="AI32" i="1"/>
  <c r="CW32" i="1" s="1"/>
  <c r="V32" i="1" s="1"/>
  <c r="AJ32" i="1"/>
  <c r="CR32" i="1"/>
  <c r="Q32" i="1" s="1"/>
  <c r="CT32" i="1"/>
  <c r="S32" i="1" s="1"/>
  <c r="CV32" i="1"/>
  <c r="U32" i="1" s="1"/>
  <c r="CX32" i="1"/>
  <c r="W32" i="1" s="1"/>
  <c r="FR32" i="1"/>
  <c r="GL32" i="1"/>
  <c r="GN32" i="1"/>
  <c r="GP32" i="1"/>
  <c r="GV32" i="1"/>
  <c r="GX32" i="1"/>
  <c r="HC32" i="1"/>
  <c r="C33" i="1"/>
  <c r="D33" i="1"/>
  <c r="I33" i="1"/>
  <c r="K33" i="1"/>
  <c r="AC33" i="1"/>
  <c r="AE33" i="1"/>
  <c r="CS33" i="1" s="1"/>
  <c r="R33" i="1" s="1"/>
  <c r="AF33" i="1"/>
  <c r="AG33" i="1"/>
  <c r="CU33" i="1" s="1"/>
  <c r="T33" i="1" s="1"/>
  <c r="AH33" i="1"/>
  <c r="AI33" i="1"/>
  <c r="CW33" i="1" s="1"/>
  <c r="V33" i="1" s="1"/>
  <c r="AJ33" i="1"/>
  <c r="CR33" i="1"/>
  <c r="Q33" i="1" s="1"/>
  <c r="CT33" i="1"/>
  <c r="S33" i="1" s="1"/>
  <c r="CV33" i="1"/>
  <c r="U33" i="1" s="1"/>
  <c r="CX33" i="1"/>
  <c r="W33" i="1" s="1"/>
  <c r="FR33" i="1"/>
  <c r="GL33" i="1"/>
  <c r="GN33" i="1"/>
  <c r="GP33" i="1"/>
  <c r="GV33" i="1"/>
  <c r="GX33" i="1"/>
  <c r="HC33" i="1"/>
  <c r="C34" i="1"/>
  <c r="D34" i="1"/>
  <c r="I34" i="1"/>
  <c r="K34" i="1"/>
  <c r="AC34" i="1"/>
  <c r="AE34" i="1"/>
  <c r="CS34" i="1" s="1"/>
  <c r="R34" i="1" s="1"/>
  <c r="AF34" i="1"/>
  <c r="AG34" i="1"/>
  <c r="CU34" i="1" s="1"/>
  <c r="T34" i="1" s="1"/>
  <c r="AH34" i="1"/>
  <c r="AI34" i="1"/>
  <c r="CW34" i="1" s="1"/>
  <c r="V34" i="1" s="1"/>
  <c r="AJ34" i="1"/>
  <c r="CR34" i="1"/>
  <c r="Q34" i="1" s="1"/>
  <c r="CT34" i="1"/>
  <c r="S34" i="1" s="1"/>
  <c r="CV34" i="1"/>
  <c r="U34" i="1" s="1"/>
  <c r="CX34" i="1"/>
  <c r="W34" i="1" s="1"/>
  <c r="FR34" i="1"/>
  <c r="GL34" i="1"/>
  <c r="GN34" i="1"/>
  <c r="GP34" i="1"/>
  <c r="GV34" i="1"/>
  <c r="GX34" i="1"/>
  <c r="HC34" i="1"/>
  <c r="C35" i="1"/>
  <c r="D35" i="1"/>
  <c r="I35" i="1"/>
  <c r="K35" i="1"/>
  <c r="U35" i="1"/>
  <c r="AC35" i="1"/>
  <c r="AE35" i="1"/>
  <c r="AF35" i="1"/>
  <c r="AG35" i="1"/>
  <c r="CU35" i="1" s="1"/>
  <c r="T35" i="1" s="1"/>
  <c r="AH35" i="1"/>
  <c r="AI35" i="1"/>
  <c r="CW35" i="1" s="1"/>
  <c r="AJ35" i="1"/>
  <c r="CR35" i="1"/>
  <c r="Q35" i="1" s="1"/>
  <c r="CT35" i="1"/>
  <c r="S35" i="1" s="1"/>
  <c r="CV35" i="1"/>
  <c r="CX35" i="1"/>
  <c r="W35" i="1" s="1"/>
  <c r="FR35" i="1"/>
  <c r="GL35" i="1"/>
  <c r="GN35" i="1"/>
  <c r="GP35" i="1"/>
  <c r="GV35" i="1"/>
  <c r="GX35" i="1"/>
  <c r="HC35" i="1"/>
  <c r="C36" i="1"/>
  <c r="D36" i="1"/>
  <c r="I36" i="1"/>
  <c r="K36" i="1"/>
  <c r="U36" i="1"/>
  <c r="AC36" i="1"/>
  <c r="AE36" i="1"/>
  <c r="AF36" i="1"/>
  <c r="AG36" i="1"/>
  <c r="CU36" i="1" s="1"/>
  <c r="T36" i="1" s="1"/>
  <c r="AH36" i="1"/>
  <c r="AI36" i="1"/>
  <c r="CW36" i="1" s="1"/>
  <c r="V36" i="1" s="1"/>
  <c r="AJ36" i="1"/>
  <c r="CT36" i="1"/>
  <c r="S36" i="1" s="1"/>
  <c r="CV36" i="1"/>
  <c r="CX36" i="1"/>
  <c r="W36" i="1" s="1"/>
  <c r="FR36" i="1"/>
  <c r="GL36" i="1"/>
  <c r="GN36" i="1"/>
  <c r="GP36" i="1"/>
  <c r="GV36" i="1"/>
  <c r="GX36" i="1"/>
  <c r="HC36" i="1"/>
  <c r="C37" i="1"/>
  <c r="D37" i="1"/>
  <c r="U37" i="1"/>
  <c r="AC37" i="1"/>
  <c r="AE37" i="1"/>
  <c r="AF37" i="1"/>
  <c r="AG37" i="1"/>
  <c r="CU37" i="1" s="1"/>
  <c r="T37" i="1" s="1"/>
  <c r="AH37" i="1"/>
  <c r="AI37" i="1"/>
  <c r="CW37" i="1" s="1"/>
  <c r="V37" i="1" s="1"/>
  <c r="AJ37" i="1"/>
  <c r="CT37" i="1"/>
  <c r="S37" i="1" s="1"/>
  <c r="CV37" i="1"/>
  <c r="CX37" i="1"/>
  <c r="W37" i="1" s="1"/>
  <c r="FR37" i="1"/>
  <c r="GL37" i="1"/>
  <c r="GN37" i="1"/>
  <c r="GP37" i="1"/>
  <c r="GV37" i="1"/>
  <c r="HC37" i="1" s="1"/>
  <c r="GX37" i="1" s="1"/>
  <c r="C38" i="1"/>
  <c r="D38" i="1"/>
  <c r="I38" i="1"/>
  <c r="K38" i="1"/>
  <c r="S38" i="1"/>
  <c r="W38" i="1"/>
  <c r="AC38" i="1"/>
  <c r="AE38" i="1"/>
  <c r="AF38" i="1"/>
  <c r="AG38" i="1"/>
  <c r="CU38" i="1" s="1"/>
  <c r="AH38" i="1"/>
  <c r="AI38" i="1"/>
  <c r="CW38" i="1" s="1"/>
  <c r="AJ38" i="1"/>
  <c r="CR38" i="1"/>
  <c r="Q38" i="1" s="1"/>
  <c r="CT38" i="1"/>
  <c r="CV38" i="1"/>
  <c r="U38" i="1" s="1"/>
  <c r="CX38" i="1"/>
  <c r="FR38" i="1"/>
  <c r="GL38" i="1"/>
  <c r="GN38" i="1"/>
  <c r="GP38" i="1"/>
  <c r="GV38" i="1"/>
  <c r="HC38" i="1" s="1"/>
  <c r="GX38" i="1"/>
  <c r="C39" i="1"/>
  <c r="D39" i="1"/>
  <c r="I39" i="1"/>
  <c r="K39" i="1"/>
  <c r="S39" i="1"/>
  <c r="CY39" i="1" s="1"/>
  <c r="X39" i="1" s="1"/>
  <c r="U39" i="1"/>
  <c r="AC39" i="1"/>
  <c r="AE39" i="1"/>
  <c r="CS39" i="1" s="1"/>
  <c r="R39" i="1" s="1"/>
  <c r="CZ39" i="1" s="1"/>
  <c r="Y39" i="1" s="1"/>
  <c r="AF39" i="1"/>
  <c r="AG39" i="1"/>
  <c r="AH39" i="1"/>
  <c r="AI39" i="1"/>
  <c r="CW39" i="1" s="1"/>
  <c r="V39" i="1" s="1"/>
  <c r="AJ39" i="1"/>
  <c r="CR39" i="1"/>
  <c r="Q39" i="1" s="1"/>
  <c r="CT39" i="1"/>
  <c r="CU39" i="1"/>
  <c r="T39" i="1" s="1"/>
  <c r="CV39" i="1"/>
  <c r="CX39" i="1"/>
  <c r="W39" i="1" s="1"/>
  <c r="AJ100" i="1" s="1"/>
  <c r="AJ22" i="1" s="1"/>
  <c r="FR39" i="1"/>
  <c r="GL39" i="1"/>
  <c r="GO39" i="1"/>
  <c r="GP39" i="1"/>
  <c r="GV39" i="1"/>
  <c r="HC39" i="1" s="1"/>
  <c r="GX39" i="1"/>
  <c r="I40" i="1"/>
  <c r="AC40" i="1"/>
  <c r="CQ40" i="1" s="1"/>
  <c r="P40" i="1" s="1"/>
  <c r="AE40" i="1"/>
  <c r="AD40" i="1" s="1"/>
  <c r="AF40" i="1"/>
  <c r="AG40" i="1"/>
  <c r="CU40" i="1" s="1"/>
  <c r="T40" i="1" s="1"/>
  <c r="AH40" i="1"/>
  <c r="AI40" i="1"/>
  <c r="CW40" i="1" s="1"/>
  <c r="V40" i="1" s="1"/>
  <c r="AJ40" i="1"/>
  <c r="CR40" i="1"/>
  <c r="Q40" i="1" s="1"/>
  <c r="CT40" i="1"/>
  <c r="S40" i="1" s="1"/>
  <c r="CV40" i="1"/>
  <c r="U40" i="1" s="1"/>
  <c r="CX40" i="1"/>
  <c r="W40" i="1" s="1"/>
  <c r="FR40" i="1"/>
  <c r="GL40" i="1"/>
  <c r="GO40" i="1"/>
  <c r="GP40" i="1"/>
  <c r="GV40" i="1"/>
  <c r="GX40" i="1"/>
  <c r="HC40" i="1"/>
  <c r="I41" i="1"/>
  <c r="AC41" i="1"/>
  <c r="AD41" i="1"/>
  <c r="AB41" i="1" s="1"/>
  <c r="AE41" i="1"/>
  <c r="AF41" i="1"/>
  <c r="CT41" i="1" s="1"/>
  <c r="S41" i="1" s="1"/>
  <c r="AG41" i="1"/>
  <c r="AH41" i="1"/>
  <c r="CV41" i="1" s="1"/>
  <c r="U41" i="1" s="1"/>
  <c r="AH100" i="1" s="1"/>
  <c r="AH22" i="1" s="1"/>
  <c r="AI41" i="1"/>
  <c r="AJ41" i="1"/>
  <c r="CX41" i="1" s="1"/>
  <c r="W41" i="1" s="1"/>
  <c r="CQ41" i="1"/>
  <c r="P41" i="1" s="1"/>
  <c r="CR41" i="1"/>
  <c r="Q41" i="1" s="1"/>
  <c r="CS41" i="1"/>
  <c r="R41" i="1" s="1"/>
  <c r="CU41" i="1"/>
  <c r="T41" i="1" s="1"/>
  <c r="CW41" i="1"/>
  <c r="V41" i="1" s="1"/>
  <c r="FR41" i="1"/>
  <c r="GL41" i="1"/>
  <c r="GO41" i="1"/>
  <c r="GP41" i="1"/>
  <c r="GV41" i="1"/>
  <c r="HC41" i="1" s="1"/>
  <c r="GX41" i="1" s="1"/>
  <c r="I42" i="1"/>
  <c r="AC42" i="1"/>
  <c r="AE42" i="1"/>
  <c r="CS42" i="1" s="1"/>
  <c r="R42" i="1" s="1"/>
  <c r="AF42" i="1"/>
  <c r="AG42" i="1"/>
  <c r="CU42" i="1" s="1"/>
  <c r="T42" i="1" s="1"/>
  <c r="AH42" i="1"/>
  <c r="AI42" i="1"/>
  <c r="CW42" i="1" s="1"/>
  <c r="V42" i="1" s="1"/>
  <c r="AJ42" i="1"/>
  <c r="CR42" i="1"/>
  <c r="Q42" i="1" s="1"/>
  <c r="CT42" i="1"/>
  <c r="S42" i="1" s="1"/>
  <c r="CV42" i="1"/>
  <c r="U42" i="1" s="1"/>
  <c r="CX42" i="1"/>
  <c r="W42" i="1" s="1"/>
  <c r="FR42" i="1"/>
  <c r="GL42" i="1"/>
  <c r="GO42" i="1"/>
  <c r="GP42" i="1"/>
  <c r="GV42" i="1"/>
  <c r="GX42" i="1"/>
  <c r="HC42" i="1"/>
  <c r="C43" i="1"/>
  <c r="D43" i="1"/>
  <c r="I43" i="1"/>
  <c r="K43" i="1"/>
  <c r="AC43" i="1"/>
  <c r="AE43" i="1"/>
  <c r="CS43" i="1" s="1"/>
  <c r="R43" i="1" s="1"/>
  <c r="AF43" i="1"/>
  <c r="AG43" i="1"/>
  <c r="CU43" i="1" s="1"/>
  <c r="T43" i="1" s="1"/>
  <c r="AH43" i="1"/>
  <c r="AI43" i="1"/>
  <c r="CW43" i="1" s="1"/>
  <c r="V43" i="1" s="1"/>
  <c r="AJ43" i="1"/>
  <c r="CR43" i="1"/>
  <c r="Q43" i="1" s="1"/>
  <c r="CT43" i="1"/>
  <c r="S43" i="1" s="1"/>
  <c r="CV43" i="1"/>
  <c r="U43" i="1" s="1"/>
  <c r="CX43" i="1"/>
  <c r="W43" i="1" s="1"/>
  <c r="FR43" i="1"/>
  <c r="GL43" i="1"/>
  <c r="GO43" i="1"/>
  <c r="GP43" i="1"/>
  <c r="GV43" i="1"/>
  <c r="GX43" i="1"/>
  <c r="HC43" i="1"/>
  <c r="C44" i="1"/>
  <c r="D44" i="1"/>
  <c r="I44" i="1"/>
  <c r="K44" i="1"/>
  <c r="AC44" i="1"/>
  <c r="AE44" i="1"/>
  <c r="CS44" i="1" s="1"/>
  <c r="R44" i="1" s="1"/>
  <c r="AF44" i="1"/>
  <c r="AG44" i="1"/>
  <c r="CU44" i="1" s="1"/>
  <c r="T44" i="1" s="1"/>
  <c r="AH44" i="1"/>
  <c r="AI44" i="1"/>
  <c r="CW44" i="1" s="1"/>
  <c r="V44" i="1" s="1"/>
  <c r="AJ44" i="1"/>
  <c r="CR44" i="1"/>
  <c r="Q44" i="1" s="1"/>
  <c r="CT44" i="1"/>
  <c r="S44" i="1" s="1"/>
  <c r="CV44" i="1"/>
  <c r="U44" i="1" s="1"/>
  <c r="CX44" i="1"/>
  <c r="W44" i="1" s="1"/>
  <c r="FR44" i="1"/>
  <c r="GL44" i="1"/>
  <c r="GO44" i="1"/>
  <c r="GP44" i="1"/>
  <c r="GV44" i="1"/>
  <c r="GX44" i="1"/>
  <c r="HC44" i="1"/>
  <c r="I45" i="1"/>
  <c r="AC45" i="1"/>
  <c r="AD45" i="1"/>
  <c r="AE45" i="1"/>
  <c r="AF45" i="1"/>
  <c r="AB45" i="1" s="1"/>
  <c r="AG45" i="1"/>
  <c r="AH45" i="1"/>
  <c r="CV45" i="1" s="1"/>
  <c r="U45" i="1" s="1"/>
  <c r="AI45" i="1"/>
  <c r="AJ45" i="1"/>
  <c r="CX45" i="1" s="1"/>
  <c r="W45" i="1" s="1"/>
  <c r="CQ45" i="1"/>
  <c r="P45" i="1" s="1"/>
  <c r="CR45" i="1"/>
  <c r="Q45" i="1" s="1"/>
  <c r="CS45" i="1"/>
  <c r="R45" i="1" s="1"/>
  <c r="CU45" i="1"/>
  <c r="T45" i="1" s="1"/>
  <c r="CW45" i="1"/>
  <c r="V45" i="1" s="1"/>
  <c r="FR45" i="1"/>
  <c r="GL45" i="1"/>
  <c r="GO45" i="1"/>
  <c r="GP45" i="1"/>
  <c r="GV45" i="1"/>
  <c r="HC45" i="1"/>
  <c r="GX45" i="1" s="1"/>
  <c r="D47" i="1"/>
  <c r="E49" i="1"/>
  <c r="Z49" i="1"/>
  <c r="AA49" i="1"/>
  <c r="AM49" i="1"/>
  <c r="AN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FN49" i="1"/>
  <c r="FO49" i="1"/>
  <c r="FP49" i="1"/>
  <c r="FQ49" i="1"/>
  <c r="FR49" i="1"/>
  <c r="FS49" i="1"/>
  <c r="FT49" i="1"/>
  <c r="FU49" i="1"/>
  <c r="FV49" i="1"/>
  <c r="FW49" i="1"/>
  <c r="FX49" i="1"/>
  <c r="FY49" i="1"/>
  <c r="FZ49" i="1"/>
  <c r="GA49" i="1"/>
  <c r="GB49" i="1"/>
  <c r="GC49" i="1"/>
  <c r="GD49" i="1"/>
  <c r="GE49" i="1"/>
  <c r="GF49" i="1"/>
  <c r="GG49" i="1"/>
  <c r="GH49" i="1"/>
  <c r="GI49" i="1"/>
  <c r="GJ49" i="1"/>
  <c r="GK49" i="1"/>
  <c r="GL49" i="1"/>
  <c r="GM49" i="1"/>
  <c r="GN49" i="1"/>
  <c r="GO49" i="1"/>
  <c r="GP49" i="1"/>
  <c r="GQ49" i="1"/>
  <c r="GR49" i="1"/>
  <c r="GS49" i="1"/>
  <c r="GT49" i="1"/>
  <c r="GU49" i="1"/>
  <c r="GV49" i="1"/>
  <c r="GW49" i="1"/>
  <c r="GX49" i="1"/>
  <c r="AC51" i="1"/>
  <c r="AE51" i="1"/>
  <c r="CS51" i="1" s="1"/>
  <c r="R51" i="1" s="1"/>
  <c r="AF51" i="1"/>
  <c r="AG51" i="1"/>
  <c r="CU51" i="1" s="1"/>
  <c r="T51" i="1" s="1"/>
  <c r="AH51" i="1"/>
  <c r="AI51" i="1"/>
  <c r="CW51" i="1" s="1"/>
  <c r="V51" i="1" s="1"/>
  <c r="AJ51" i="1"/>
  <c r="CR51" i="1"/>
  <c r="Q51" i="1" s="1"/>
  <c r="CT51" i="1"/>
  <c r="S51" i="1" s="1"/>
  <c r="CV51" i="1"/>
  <c r="U51" i="1" s="1"/>
  <c r="CX51" i="1"/>
  <c r="W51" i="1" s="1"/>
  <c r="FR51" i="1"/>
  <c r="GL51" i="1"/>
  <c r="GO51" i="1"/>
  <c r="GP51" i="1"/>
  <c r="GV51" i="1"/>
  <c r="GX51" i="1"/>
  <c r="HC51" i="1"/>
  <c r="AC52" i="1"/>
  <c r="AE52" i="1"/>
  <c r="CS52" i="1" s="1"/>
  <c r="R52" i="1" s="1"/>
  <c r="AF52" i="1"/>
  <c r="AG52" i="1"/>
  <c r="CU52" i="1" s="1"/>
  <c r="T52" i="1" s="1"/>
  <c r="AH52" i="1"/>
  <c r="AI52" i="1"/>
  <c r="CW52" i="1" s="1"/>
  <c r="V52" i="1" s="1"/>
  <c r="AJ52" i="1"/>
  <c r="CR52" i="1"/>
  <c r="Q52" i="1" s="1"/>
  <c r="CT52" i="1"/>
  <c r="S52" i="1" s="1"/>
  <c r="CV52" i="1"/>
  <c r="U52" i="1" s="1"/>
  <c r="CX52" i="1"/>
  <c r="W52" i="1" s="1"/>
  <c r="AJ62" i="1" s="1"/>
  <c r="FR52" i="1"/>
  <c r="GL52" i="1"/>
  <c r="GO52" i="1"/>
  <c r="GP52" i="1"/>
  <c r="GV52" i="1"/>
  <c r="GX52" i="1"/>
  <c r="HC52" i="1"/>
  <c r="AC53" i="1"/>
  <c r="AE53" i="1"/>
  <c r="CS53" i="1" s="1"/>
  <c r="R53" i="1" s="1"/>
  <c r="AF53" i="1"/>
  <c r="AG53" i="1"/>
  <c r="CU53" i="1" s="1"/>
  <c r="T53" i="1" s="1"/>
  <c r="AH53" i="1"/>
  <c r="AI53" i="1"/>
  <c r="CW53" i="1" s="1"/>
  <c r="V53" i="1" s="1"/>
  <c r="AJ53" i="1"/>
  <c r="CR53" i="1"/>
  <c r="Q53" i="1" s="1"/>
  <c r="CT53" i="1"/>
  <c r="S53" i="1" s="1"/>
  <c r="CV53" i="1"/>
  <c r="U53" i="1" s="1"/>
  <c r="CX53" i="1"/>
  <c r="W53" i="1" s="1"/>
  <c r="FR53" i="1"/>
  <c r="GL53" i="1"/>
  <c r="GO53" i="1"/>
  <c r="GP53" i="1"/>
  <c r="GV53" i="1"/>
  <c r="GX53" i="1"/>
  <c r="HC53" i="1"/>
  <c r="AC54" i="1"/>
  <c r="AE54" i="1"/>
  <c r="CS54" i="1" s="1"/>
  <c r="R54" i="1" s="1"/>
  <c r="AF54" i="1"/>
  <c r="AG54" i="1"/>
  <c r="CU54" i="1" s="1"/>
  <c r="T54" i="1" s="1"/>
  <c r="AH54" i="1"/>
  <c r="AI54" i="1"/>
  <c r="CW54" i="1" s="1"/>
  <c r="V54" i="1" s="1"/>
  <c r="AJ54" i="1"/>
  <c r="CR54" i="1"/>
  <c r="Q54" i="1" s="1"/>
  <c r="CT54" i="1"/>
  <c r="S54" i="1" s="1"/>
  <c r="CV54" i="1"/>
  <c r="U54" i="1" s="1"/>
  <c r="CX54" i="1"/>
  <c r="W54" i="1" s="1"/>
  <c r="FR54" i="1"/>
  <c r="GL54" i="1"/>
  <c r="GO54" i="1"/>
  <c r="GP54" i="1"/>
  <c r="GV54" i="1"/>
  <c r="GX54" i="1"/>
  <c r="HC54" i="1"/>
  <c r="AC55" i="1"/>
  <c r="AE55" i="1"/>
  <c r="CS55" i="1" s="1"/>
  <c r="R55" i="1" s="1"/>
  <c r="AF55" i="1"/>
  <c r="AG55" i="1"/>
  <c r="CU55" i="1" s="1"/>
  <c r="T55" i="1" s="1"/>
  <c r="AH55" i="1"/>
  <c r="AI55" i="1"/>
  <c r="CW55" i="1" s="1"/>
  <c r="V55" i="1" s="1"/>
  <c r="AJ55" i="1"/>
  <c r="CR55" i="1"/>
  <c r="Q55" i="1" s="1"/>
  <c r="CT55" i="1"/>
  <c r="S55" i="1" s="1"/>
  <c r="CV55" i="1"/>
  <c r="U55" i="1" s="1"/>
  <c r="CX55" i="1"/>
  <c r="W55" i="1" s="1"/>
  <c r="FR55" i="1"/>
  <c r="GL55" i="1"/>
  <c r="GO55" i="1"/>
  <c r="GP55" i="1"/>
  <c r="GV55" i="1"/>
  <c r="GX55" i="1"/>
  <c r="HC55" i="1"/>
  <c r="AC56" i="1"/>
  <c r="AE56" i="1"/>
  <c r="CS56" i="1" s="1"/>
  <c r="R56" i="1" s="1"/>
  <c r="AF56" i="1"/>
  <c r="AG56" i="1"/>
  <c r="CU56" i="1" s="1"/>
  <c r="T56" i="1" s="1"/>
  <c r="AH56" i="1"/>
  <c r="AI56" i="1"/>
  <c r="CW56" i="1" s="1"/>
  <c r="V56" i="1" s="1"/>
  <c r="AJ56" i="1"/>
  <c r="CR56" i="1"/>
  <c r="Q56" i="1" s="1"/>
  <c r="AD62" i="1" s="1"/>
  <c r="CT56" i="1"/>
  <c r="S56" i="1" s="1"/>
  <c r="CV56" i="1"/>
  <c r="U56" i="1" s="1"/>
  <c r="CX56" i="1"/>
  <c r="W56" i="1" s="1"/>
  <c r="FR56" i="1"/>
  <c r="GL56" i="1"/>
  <c r="GO56" i="1"/>
  <c r="GP56" i="1"/>
  <c r="GV56" i="1"/>
  <c r="GX56" i="1"/>
  <c r="HC56" i="1"/>
  <c r="AC57" i="1"/>
  <c r="AE57" i="1"/>
  <c r="CS57" i="1" s="1"/>
  <c r="R57" i="1" s="1"/>
  <c r="AF57" i="1"/>
  <c r="AG57" i="1"/>
  <c r="CU57" i="1" s="1"/>
  <c r="T57" i="1" s="1"/>
  <c r="AH57" i="1"/>
  <c r="AI57" i="1"/>
  <c r="CW57" i="1" s="1"/>
  <c r="V57" i="1" s="1"/>
  <c r="AJ57" i="1"/>
  <c r="CR57" i="1"/>
  <c r="Q57" i="1" s="1"/>
  <c r="CT57" i="1"/>
  <c r="S57" i="1" s="1"/>
  <c r="CV57" i="1"/>
  <c r="U57" i="1" s="1"/>
  <c r="CX57" i="1"/>
  <c r="W57" i="1" s="1"/>
  <c r="FR57" i="1"/>
  <c r="GL57" i="1"/>
  <c r="GO57" i="1"/>
  <c r="GP57" i="1"/>
  <c r="GV57" i="1"/>
  <c r="GX57" i="1"/>
  <c r="HC57" i="1"/>
  <c r="AC58" i="1"/>
  <c r="AE58" i="1"/>
  <c r="CS58" i="1" s="1"/>
  <c r="R58" i="1" s="1"/>
  <c r="AF58" i="1"/>
  <c r="AG58" i="1"/>
  <c r="CU58" i="1" s="1"/>
  <c r="T58" i="1" s="1"/>
  <c r="AH58" i="1"/>
  <c r="AI58" i="1"/>
  <c r="CW58" i="1" s="1"/>
  <c r="V58" i="1" s="1"/>
  <c r="AJ58" i="1"/>
  <c r="CR58" i="1"/>
  <c r="Q58" i="1" s="1"/>
  <c r="CT58" i="1"/>
  <c r="S58" i="1" s="1"/>
  <c r="CV58" i="1"/>
  <c r="U58" i="1" s="1"/>
  <c r="CX58" i="1"/>
  <c r="W58" i="1" s="1"/>
  <c r="FR58" i="1"/>
  <c r="GL58" i="1"/>
  <c r="GO58" i="1"/>
  <c r="GP58" i="1"/>
  <c r="GV58" i="1"/>
  <c r="GX58" i="1"/>
  <c r="HC58" i="1"/>
  <c r="AC59" i="1"/>
  <c r="AE59" i="1"/>
  <c r="CS59" i="1" s="1"/>
  <c r="R59" i="1" s="1"/>
  <c r="AF59" i="1"/>
  <c r="AG59" i="1"/>
  <c r="CU59" i="1" s="1"/>
  <c r="T59" i="1" s="1"/>
  <c r="AH59" i="1"/>
  <c r="AI59" i="1"/>
  <c r="CW59" i="1" s="1"/>
  <c r="V59" i="1" s="1"/>
  <c r="AJ59" i="1"/>
  <c r="CR59" i="1"/>
  <c r="Q59" i="1" s="1"/>
  <c r="CT59" i="1"/>
  <c r="S59" i="1" s="1"/>
  <c r="CV59" i="1"/>
  <c r="U59" i="1" s="1"/>
  <c r="CX59" i="1"/>
  <c r="W59" i="1" s="1"/>
  <c r="FR59" i="1"/>
  <c r="GL59" i="1"/>
  <c r="BZ62" i="1" s="1"/>
  <c r="CG62" i="1" s="1"/>
  <c r="GO59" i="1"/>
  <c r="GP59" i="1"/>
  <c r="GV59" i="1"/>
  <c r="GX59" i="1"/>
  <c r="HC59" i="1"/>
  <c r="S60" i="1"/>
  <c r="AC60" i="1"/>
  <c r="AE60" i="1"/>
  <c r="CS60" i="1" s="1"/>
  <c r="R60" i="1" s="1"/>
  <c r="AF60" i="1"/>
  <c r="AG60" i="1"/>
  <c r="CU60" i="1" s="1"/>
  <c r="T60" i="1" s="1"/>
  <c r="AH60" i="1"/>
  <c r="AI60" i="1"/>
  <c r="CW60" i="1" s="1"/>
  <c r="V60" i="1" s="1"/>
  <c r="AJ60" i="1"/>
  <c r="CR60" i="1"/>
  <c r="Q60" i="1" s="1"/>
  <c r="CT60" i="1"/>
  <c r="CV60" i="1"/>
  <c r="U60" i="1" s="1"/>
  <c r="CX60" i="1"/>
  <c r="W60" i="1" s="1"/>
  <c r="FR60" i="1"/>
  <c r="GL60" i="1"/>
  <c r="GO60" i="1"/>
  <c r="GP60" i="1"/>
  <c r="GV60" i="1"/>
  <c r="GX60" i="1"/>
  <c r="HC60" i="1"/>
  <c r="B62" i="1"/>
  <c r="B49" i="1" s="1"/>
  <c r="C62" i="1"/>
  <c r="C49" i="1" s="1"/>
  <c r="D62" i="1"/>
  <c r="D49" i="1" s="1"/>
  <c r="F62" i="1"/>
  <c r="F49" i="1" s="1"/>
  <c r="G62" i="1"/>
  <c r="G49" i="1" s="1"/>
  <c r="AF62" i="1"/>
  <c r="AH62" i="1"/>
  <c r="AP62" i="1"/>
  <c r="AP49" i="1" s="1"/>
  <c r="BX62" i="1"/>
  <c r="AO62" i="1" s="1"/>
  <c r="AO49" i="1" s="1"/>
  <c r="BY62" i="1"/>
  <c r="BY49" i="1" s="1"/>
  <c r="CC62" i="1"/>
  <c r="CC49" i="1" s="1"/>
  <c r="CD62" i="1"/>
  <c r="CJ62" i="1"/>
  <c r="CK62" i="1"/>
  <c r="CK49" i="1" s="1"/>
  <c r="CL62" i="1"/>
  <c r="CM62" i="1"/>
  <c r="CM49" i="1" s="1"/>
  <c r="F66" i="1"/>
  <c r="B100" i="1"/>
  <c r="B22" i="1" s="1"/>
  <c r="C100" i="1"/>
  <c r="C22" i="1" s="1"/>
  <c r="D100" i="1"/>
  <c r="D22" i="1" s="1"/>
  <c r="F100" i="1"/>
  <c r="F22" i="1" s="1"/>
  <c r="G100" i="1"/>
  <c r="G22" i="1" s="1"/>
  <c r="BX100" i="1"/>
  <c r="BX22" i="1" s="1"/>
  <c r="BY100" i="1"/>
  <c r="BY22" i="1" s="1"/>
  <c r="BZ100" i="1"/>
  <c r="BZ22" i="1" s="1"/>
  <c r="CD100" i="1"/>
  <c r="CD22" i="1" s="1"/>
  <c r="CJ100" i="1"/>
  <c r="CJ22" i="1" s="1"/>
  <c r="CK100" i="1"/>
  <c r="CK22" i="1" s="1"/>
  <c r="CL100" i="1"/>
  <c r="CL22" i="1" s="1"/>
  <c r="CM100" i="1"/>
  <c r="CM22" i="1" s="1"/>
  <c r="B138" i="1"/>
  <c r="B18" i="1" s="1"/>
  <c r="C138" i="1"/>
  <c r="C18" i="1" s="1"/>
  <c r="D138" i="1"/>
  <c r="D18" i="1" s="1"/>
  <c r="F138" i="1"/>
  <c r="F18" i="1" s="1"/>
  <c r="G138" i="1"/>
  <c r="G180" i="6" l="1"/>
  <c r="J180" i="6"/>
  <c r="P180" i="6" s="1"/>
  <c r="G214" i="6"/>
  <c r="W62" i="6"/>
  <c r="W41" i="6"/>
  <c r="O135" i="6"/>
  <c r="J226" i="6"/>
  <c r="J238" i="6"/>
  <c r="X74" i="6"/>
  <c r="O117" i="6"/>
  <c r="G18" i="1"/>
  <c r="A238" i="6"/>
  <c r="AG238" i="6"/>
  <c r="W159" i="6"/>
  <c r="O159" i="6"/>
  <c r="O180" i="6"/>
  <c r="W180" i="6"/>
  <c r="O141" i="6"/>
  <c r="X141" i="6"/>
  <c r="G24" i="6" s="1"/>
  <c r="CG49" i="1"/>
  <c r="AX62" i="1"/>
  <c r="AJ49" i="1"/>
  <c r="W62" i="1"/>
  <c r="AD49" i="1"/>
  <c r="Q62" i="1"/>
  <c r="AF49" i="1"/>
  <c r="S62" i="1"/>
  <c r="CY59" i="1"/>
  <c r="X59" i="1" s="1"/>
  <c r="CZ59" i="1"/>
  <c r="Y59" i="1" s="1"/>
  <c r="AB55" i="1"/>
  <c r="CP40" i="1"/>
  <c r="O40" i="1" s="1"/>
  <c r="CZ37" i="1"/>
  <c r="Y37" i="1" s="1"/>
  <c r="CI100" i="1"/>
  <c r="CI22" i="1" s="1"/>
  <c r="BD62" i="1"/>
  <c r="CY60" i="1"/>
  <c r="X60" i="1" s="1"/>
  <c r="CZ60" i="1"/>
  <c r="Y60" i="1" s="1"/>
  <c r="AG62" i="1"/>
  <c r="CP41" i="1"/>
  <c r="O41" i="1" s="1"/>
  <c r="AO100" i="1"/>
  <c r="CD49" i="1"/>
  <c r="AU62" i="1"/>
  <c r="BZ49" i="1"/>
  <c r="AQ62" i="1"/>
  <c r="AB57" i="1"/>
  <c r="CY55" i="1"/>
  <c r="X55" i="1" s="1"/>
  <c r="CZ55" i="1"/>
  <c r="Y55" i="1" s="1"/>
  <c r="CY53" i="1"/>
  <c r="X53" i="1" s="1"/>
  <c r="CZ53" i="1"/>
  <c r="Y53" i="1" s="1"/>
  <c r="CY51" i="1"/>
  <c r="X51" i="1" s="1"/>
  <c r="CZ51" i="1"/>
  <c r="Y51" i="1" s="1"/>
  <c r="CY40" i="1"/>
  <c r="X40" i="1" s="1"/>
  <c r="BA62" i="1"/>
  <c r="CJ49" i="1"/>
  <c r="BB62" i="1"/>
  <c r="AT62" i="1"/>
  <c r="CY58" i="1"/>
  <c r="X58" i="1" s="1"/>
  <c r="CZ58" i="1"/>
  <c r="Y58" i="1" s="1"/>
  <c r="CY56" i="1"/>
  <c r="X56" i="1" s="1"/>
  <c r="CZ56" i="1"/>
  <c r="Y56" i="1" s="1"/>
  <c r="CY54" i="1"/>
  <c r="X54" i="1" s="1"/>
  <c r="CZ54" i="1"/>
  <c r="Y54" i="1" s="1"/>
  <c r="AB54" i="1"/>
  <c r="CY52" i="1"/>
  <c r="X52" i="1" s="1"/>
  <c r="CZ52" i="1"/>
  <c r="Y52" i="1" s="1"/>
  <c r="CY44" i="1"/>
  <c r="X44" i="1" s="1"/>
  <c r="CZ44" i="1"/>
  <c r="Y44" i="1" s="1"/>
  <c r="CY42" i="1"/>
  <c r="X42" i="1" s="1"/>
  <c r="CZ42" i="1"/>
  <c r="Y42" i="1" s="1"/>
  <c r="CY41" i="1"/>
  <c r="X41" i="1" s="1"/>
  <c r="CZ41" i="1"/>
  <c r="Y41" i="1" s="1"/>
  <c r="CL49" i="1"/>
  <c r="BC62" i="1"/>
  <c r="CY57" i="1"/>
  <c r="X57" i="1" s="1"/>
  <c r="CZ57" i="1"/>
  <c r="Y57" i="1" s="1"/>
  <c r="AB53" i="1"/>
  <c r="CY43" i="1"/>
  <c r="X43" i="1" s="1"/>
  <c r="CZ43" i="1"/>
  <c r="Y43" i="1" s="1"/>
  <c r="CG100" i="1"/>
  <c r="CG22" i="1" s="1"/>
  <c r="AP100" i="1"/>
  <c r="AF100" i="1"/>
  <c r="AF22" i="1" s="1"/>
  <c r="F71" i="1"/>
  <c r="CI62" i="1"/>
  <c r="AH49" i="1"/>
  <c r="U62" i="1"/>
  <c r="CQ60" i="1"/>
  <c r="P60" i="1" s="1"/>
  <c r="CP60" i="1" s="1"/>
  <c r="O60" i="1" s="1"/>
  <c r="GM60" i="1" s="1"/>
  <c r="GN60" i="1" s="1"/>
  <c r="AI62" i="1"/>
  <c r="AE62" i="1"/>
  <c r="CX113" i="3"/>
  <c r="CU113" i="3"/>
  <c r="CX117" i="3"/>
  <c r="CX116" i="3"/>
  <c r="CX109" i="3"/>
  <c r="CX111" i="3"/>
  <c r="CU108" i="3"/>
  <c r="CY35" i="1"/>
  <c r="X35" i="1" s="1"/>
  <c r="CX118" i="3"/>
  <c r="AD60" i="1"/>
  <c r="AB60" i="1" s="1"/>
  <c r="CQ59" i="1"/>
  <c r="P59" i="1" s="1"/>
  <c r="CP59" i="1" s="1"/>
  <c r="O59" i="1" s="1"/>
  <c r="GM59" i="1" s="1"/>
  <c r="GN59" i="1" s="1"/>
  <c r="AD59" i="1"/>
  <c r="AB59" i="1" s="1"/>
  <c r="CQ58" i="1"/>
  <c r="P58" i="1" s="1"/>
  <c r="CP58" i="1" s="1"/>
  <c r="O58" i="1" s="1"/>
  <c r="AD58" i="1"/>
  <c r="AB58" i="1" s="1"/>
  <c r="CQ57" i="1"/>
  <c r="P57" i="1" s="1"/>
  <c r="CP57" i="1" s="1"/>
  <c r="O57" i="1" s="1"/>
  <c r="GM57" i="1" s="1"/>
  <c r="GN57" i="1" s="1"/>
  <c r="AD57" i="1"/>
  <c r="CQ56" i="1"/>
  <c r="P56" i="1" s="1"/>
  <c r="CP56" i="1" s="1"/>
  <c r="O56" i="1" s="1"/>
  <c r="AD56" i="1"/>
  <c r="AB56" i="1" s="1"/>
  <c r="CQ55" i="1"/>
  <c r="P55" i="1" s="1"/>
  <c r="CP55" i="1" s="1"/>
  <c r="O55" i="1" s="1"/>
  <c r="GM55" i="1" s="1"/>
  <c r="GN55" i="1" s="1"/>
  <c r="AD55" i="1"/>
  <c r="CQ54" i="1"/>
  <c r="P54" i="1" s="1"/>
  <c r="CP54" i="1" s="1"/>
  <c r="O54" i="1" s="1"/>
  <c r="GM54" i="1" s="1"/>
  <c r="GN54" i="1" s="1"/>
  <c r="AD54" i="1"/>
  <c r="CQ53" i="1"/>
  <c r="P53" i="1" s="1"/>
  <c r="CP53" i="1" s="1"/>
  <c r="O53" i="1" s="1"/>
  <c r="GM53" i="1" s="1"/>
  <c r="GN53" i="1" s="1"/>
  <c r="AD53" i="1"/>
  <c r="CQ52" i="1"/>
  <c r="P52" i="1" s="1"/>
  <c r="CP52" i="1" s="1"/>
  <c r="O52" i="1" s="1"/>
  <c r="GM52" i="1" s="1"/>
  <c r="GN52" i="1" s="1"/>
  <c r="AD52" i="1"/>
  <c r="AB52" i="1" s="1"/>
  <c r="CQ51" i="1"/>
  <c r="P51" i="1" s="1"/>
  <c r="AD51" i="1"/>
  <c r="AB51" i="1" s="1"/>
  <c r="BX49" i="1"/>
  <c r="CT45" i="1"/>
  <c r="S45" i="1" s="1"/>
  <c r="CQ44" i="1"/>
  <c r="P44" i="1" s="1"/>
  <c r="CP44" i="1" s="1"/>
  <c r="O44" i="1" s="1"/>
  <c r="GM44" i="1" s="1"/>
  <c r="GN44" i="1" s="1"/>
  <c r="AD44" i="1"/>
  <c r="AB44" i="1" s="1"/>
  <c r="CQ43" i="1"/>
  <c r="P43" i="1" s="1"/>
  <c r="CP43" i="1" s="1"/>
  <c r="O43" i="1" s="1"/>
  <c r="GM43" i="1" s="1"/>
  <c r="GN43" i="1" s="1"/>
  <c r="AD43" i="1"/>
  <c r="AB43" i="1" s="1"/>
  <c r="CQ42" i="1"/>
  <c r="P42" i="1" s="1"/>
  <c r="CP42" i="1" s="1"/>
  <c r="O42" i="1" s="1"/>
  <c r="GM42" i="1" s="1"/>
  <c r="GN42" i="1" s="1"/>
  <c r="AD42" i="1"/>
  <c r="AB42" i="1" s="1"/>
  <c r="CS40" i="1"/>
  <c r="R40" i="1" s="1"/>
  <c r="CZ40" i="1" s="1"/>
  <c r="Y40" i="1" s="1"/>
  <c r="AB40" i="1"/>
  <c r="V38" i="1"/>
  <c r="AD38" i="1"/>
  <c r="CS38" i="1"/>
  <c r="R38" i="1" s="1"/>
  <c r="CY38" i="1" s="1"/>
  <c r="X38" i="1" s="1"/>
  <c r="CU50" i="3"/>
  <c r="CX51" i="3"/>
  <c r="CX53" i="3"/>
  <c r="CY34" i="1"/>
  <c r="X34" i="1" s="1"/>
  <c r="CZ34" i="1"/>
  <c r="Y34" i="1" s="1"/>
  <c r="CY32" i="1"/>
  <c r="X32" i="1" s="1"/>
  <c r="CZ32" i="1"/>
  <c r="Y32" i="1" s="1"/>
  <c r="AB32" i="1"/>
  <c r="CY30" i="1"/>
  <c r="X30" i="1" s="1"/>
  <c r="CZ30" i="1"/>
  <c r="Y30" i="1" s="1"/>
  <c r="CP28" i="1"/>
  <c r="O28" i="1" s="1"/>
  <c r="CY27" i="1"/>
  <c r="X27" i="1" s="1"/>
  <c r="CZ27" i="1"/>
  <c r="Y27" i="1" s="1"/>
  <c r="CY25" i="1"/>
  <c r="X25" i="1" s="1"/>
  <c r="CZ25" i="1"/>
  <c r="Y25" i="1" s="1"/>
  <c r="AB25" i="1"/>
  <c r="CQ38" i="1"/>
  <c r="P38" i="1" s="1"/>
  <c r="CP38" i="1" s="1"/>
  <c r="O38" i="1" s="1"/>
  <c r="AB38" i="1"/>
  <c r="CU77" i="3"/>
  <c r="CX80" i="3"/>
  <c r="CX81" i="3"/>
  <c r="CX85" i="3"/>
  <c r="CX89" i="3"/>
  <c r="CV77" i="3"/>
  <c r="CX78" i="3"/>
  <c r="CX79" i="3"/>
  <c r="CW80" i="3"/>
  <c r="CX84" i="3"/>
  <c r="CX88" i="3"/>
  <c r="AD37" i="1"/>
  <c r="AB37" i="1" s="1"/>
  <c r="CS37" i="1"/>
  <c r="R37" i="1" s="1"/>
  <c r="CY37" i="1" s="1"/>
  <c r="X37" i="1" s="1"/>
  <c r="CS36" i="1"/>
  <c r="R36" i="1" s="1"/>
  <c r="CY36" i="1" s="1"/>
  <c r="X36" i="1" s="1"/>
  <c r="AD36" i="1"/>
  <c r="CQ39" i="1"/>
  <c r="P39" i="1" s="1"/>
  <c r="CP39" i="1" s="1"/>
  <c r="O39" i="1" s="1"/>
  <c r="GM39" i="1" s="1"/>
  <c r="GN39" i="1" s="1"/>
  <c r="AD39" i="1"/>
  <c r="AB39" i="1" s="1"/>
  <c r="CX91" i="3"/>
  <c r="CW94" i="3"/>
  <c r="CW96" i="3"/>
  <c r="CW98" i="3"/>
  <c r="CW100" i="3"/>
  <c r="CX103" i="3"/>
  <c r="CX107" i="3"/>
  <c r="CX94" i="3"/>
  <c r="CX96" i="3"/>
  <c r="CX98" i="3"/>
  <c r="CX100" i="3"/>
  <c r="CU91" i="3"/>
  <c r="T38" i="1"/>
  <c r="AG100" i="1" s="1"/>
  <c r="AG22" i="1" s="1"/>
  <c r="CR37" i="1"/>
  <c r="Q37" i="1" s="1"/>
  <c r="CQ37" i="1"/>
  <c r="P37" i="1" s="1"/>
  <c r="CP37" i="1" s="1"/>
  <c r="O37" i="1" s="1"/>
  <c r="CR36" i="1"/>
  <c r="Q36" i="1" s="1"/>
  <c r="AD100" i="1" s="1"/>
  <c r="AD22" i="1" s="1"/>
  <c r="AB36" i="1"/>
  <c r="CQ36" i="1"/>
  <c r="P36" i="1" s="1"/>
  <c r="CU55" i="3"/>
  <c r="CW57" i="3"/>
  <c r="CW59" i="3"/>
  <c r="CW61" i="3"/>
  <c r="CX64" i="3"/>
  <c r="CV55" i="3"/>
  <c r="CX57" i="3"/>
  <c r="CX59" i="3"/>
  <c r="CX61" i="3"/>
  <c r="CX55" i="3"/>
  <c r="CW58" i="3"/>
  <c r="CW60" i="3"/>
  <c r="CX62" i="3"/>
  <c r="V35" i="1"/>
  <c r="AI100" i="1" s="1"/>
  <c r="AI22" i="1" s="1"/>
  <c r="CS35" i="1"/>
  <c r="R35" i="1" s="1"/>
  <c r="CZ35" i="1" s="1"/>
  <c r="Y35" i="1" s="1"/>
  <c r="AD35" i="1"/>
  <c r="AB35" i="1" s="1"/>
  <c r="CY33" i="1"/>
  <c r="X33" i="1" s="1"/>
  <c r="CZ33" i="1"/>
  <c r="Y33" i="1" s="1"/>
  <c r="CY31" i="1"/>
  <c r="X31" i="1" s="1"/>
  <c r="CZ31" i="1"/>
  <c r="Y31" i="1" s="1"/>
  <c r="AB31" i="1"/>
  <c r="CY29" i="1"/>
  <c r="X29" i="1" s="1"/>
  <c r="CZ29" i="1"/>
  <c r="Y29" i="1" s="1"/>
  <c r="CY26" i="1"/>
  <c r="X26" i="1" s="1"/>
  <c r="CZ26" i="1"/>
  <c r="Y26" i="1" s="1"/>
  <c r="AB26" i="1"/>
  <c r="CY24" i="1"/>
  <c r="X24" i="1" s="1"/>
  <c r="CZ24" i="1"/>
  <c r="Y24" i="1" s="1"/>
  <c r="CW48" i="3"/>
  <c r="CU45" i="3"/>
  <c r="CX48" i="3"/>
  <c r="CX45" i="3"/>
  <c r="CX46" i="3"/>
  <c r="CW47" i="3"/>
  <c r="CX49" i="3"/>
  <c r="CV33" i="3"/>
  <c r="CX35" i="3"/>
  <c r="CX37" i="3"/>
  <c r="CX33" i="3"/>
  <c r="CU33" i="3"/>
  <c r="CW35" i="3"/>
  <c r="CW37" i="3"/>
  <c r="CX39" i="3"/>
  <c r="CX43" i="3"/>
  <c r="CX44" i="3"/>
  <c r="CU30" i="3"/>
  <c r="CX30" i="3"/>
  <c r="CV27" i="3"/>
  <c r="CX27" i="3"/>
  <c r="CU27" i="3"/>
  <c r="CX28" i="3"/>
  <c r="CV17" i="3"/>
  <c r="CX19" i="3"/>
  <c r="CX21" i="3"/>
  <c r="CX17" i="3"/>
  <c r="CU17" i="3"/>
  <c r="CW19" i="3"/>
  <c r="CW21" i="3"/>
  <c r="CX23" i="3"/>
  <c r="CV7" i="3"/>
  <c r="CU7" i="3"/>
  <c r="CW5" i="3"/>
  <c r="CX5" i="3"/>
  <c r="CV1" i="3"/>
  <c r="CX3" i="3"/>
  <c r="CX2" i="3"/>
  <c r="CU1" i="3"/>
  <c r="CW3" i="3"/>
  <c r="CW111" i="3"/>
  <c r="CX106" i="3"/>
  <c r="CX101" i="3"/>
  <c r="CW93" i="3"/>
  <c r="CX87" i="3"/>
  <c r="CQ35" i="1"/>
  <c r="P35" i="1" s="1"/>
  <c r="CP35" i="1" s="1"/>
  <c r="O35" i="1" s="1"/>
  <c r="CQ34" i="1"/>
  <c r="P34" i="1" s="1"/>
  <c r="CP34" i="1" s="1"/>
  <c r="O34" i="1" s="1"/>
  <c r="GM34" i="1" s="1"/>
  <c r="GO34" i="1" s="1"/>
  <c r="AD34" i="1"/>
  <c r="AB34" i="1" s="1"/>
  <c r="CQ33" i="1"/>
  <c r="P33" i="1" s="1"/>
  <c r="CP33" i="1" s="1"/>
  <c r="O33" i="1" s="1"/>
  <c r="AD33" i="1"/>
  <c r="AB33" i="1" s="1"/>
  <c r="CQ32" i="1"/>
  <c r="P32" i="1" s="1"/>
  <c r="CP32" i="1" s="1"/>
  <c r="O32" i="1" s="1"/>
  <c r="GM32" i="1" s="1"/>
  <c r="GO32" i="1" s="1"/>
  <c r="AD32" i="1"/>
  <c r="CQ31" i="1"/>
  <c r="P31" i="1" s="1"/>
  <c r="CP31" i="1" s="1"/>
  <c r="O31" i="1" s="1"/>
  <c r="GM31" i="1" s="1"/>
  <c r="GO31" i="1" s="1"/>
  <c r="AD31" i="1"/>
  <c r="CQ30" i="1"/>
  <c r="P30" i="1" s="1"/>
  <c r="CP30" i="1" s="1"/>
  <c r="O30" i="1" s="1"/>
  <c r="GM30" i="1" s="1"/>
  <c r="GO30" i="1" s="1"/>
  <c r="AD30" i="1"/>
  <c r="AB30" i="1" s="1"/>
  <c r="CQ29" i="1"/>
  <c r="P29" i="1" s="1"/>
  <c r="CP29" i="1" s="1"/>
  <c r="O29" i="1" s="1"/>
  <c r="GM29" i="1" s="1"/>
  <c r="GO29" i="1" s="1"/>
  <c r="AD29" i="1"/>
  <c r="AB29" i="1" s="1"/>
  <c r="CS28" i="1"/>
  <c r="R28" i="1" s="1"/>
  <c r="AE100" i="1" s="1"/>
  <c r="AE22" i="1" s="1"/>
  <c r="AB28" i="1"/>
  <c r="CQ27" i="1"/>
  <c r="P27" i="1" s="1"/>
  <c r="CP27" i="1" s="1"/>
  <c r="O27" i="1" s="1"/>
  <c r="AD27" i="1"/>
  <c r="AB27" i="1" s="1"/>
  <c r="CQ26" i="1"/>
  <c r="P26" i="1" s="1"/>
  <c r="CP26" i="1" s="1"/>
  <c r="O26" i="1" s="1"/>
  <c r="GM26" i="1" s="1"/>
  <c r="GN26" i="1" s="1"/>
  <c r="AD26" i="1"/>
  <c r="CQ25" i="1"/>
  <c r="P25" i="1" s="1"/>
  <c r="CP25" i="1" s="1"/>
  <c r="O25" i="1" s="1"/>
  <c r="GM25" i="1" s="1"/>
  <c r="GN25" i="1" s="1"/>
  <c r="AD25" i="1"/>
  <c r="CQ24" i="1"/>
  <c r="P24" i="1" s="1"/>
  <c r="AD24" i="1"/>
  <c r="AB24" i="1" s="1"/>
  <c r="CX112" i="3"/>
  <c r="CX104" i="3"/>
  <c r="CW99" i="3"/>
  <c r="CX90" i="3"/>
  <c r="CX82" i="3"/>
  <c r="CW115" i="3"/>
  <c r="CX114" i="3"/>
  <c r="CV113" i="3"/>
  <c r="CW110" i="3"/>
  <c r="CX105" i="3"/>
  <c r="CX102" i="3"/>
  <c r="CW97" i="3"/>
  <c r="CV91" i="3"/>
  <c r="CX83" i="3"/>
  <c r="CV108" i="3"/>
  <c r="CW95" i="3"/>
  <c r="CX92" i="3"/>
  <c r="CX86" i="3"/>
  <c r="CX115" i="3"/>
  <c r="CX108" i="3"/>
  <c r="CX99" i="3"/>
  <c r="CX97" i="3"/>
  <c r="CX95" i="3"/>
  <c r="CX93" i="3"/>
  <c r="CW81" i="3"/>
  <c r="DH73" i="3"/>
  <c r="DI73" i="3"/>
  <c r="DF73" i="3"/>
  <c r="DJ73" i="3" s="1"/>
  <c r="DI72" i="3"/>
  <c r="DF72" i="3"/>
  <c r="DJ72" i="3" s="1"/>
  <c r="DG72" i="3"/>
  <c r="CX54" i="3"/>
  <c r="CX110" i="3"/>
  <c r="CW79" i="3"/>
  <c r="DI76" i="3"/>
  <c r="DG76" i="3"/>
  <c r="DF71" i="3"/>
  <c r="DJ71" i="3" s="1"/>
  <c r="DG71" i="3"/>
  <c r="DH71" i="3"/>
  <c r="CX65" i="3"/>
  <c r="CX63" i="3"/>
  <c r="CX60" i="3"/>
  <c r="CW52" i="3"/>
  <c r="DH69" i="3"/>
  <c r="DI69" i="3"/>
  <c r="DF69" i="3"/>
  <c r="DJ69" i="3" s="1"/>
  <c r="DI68" i="3"/>
  <c r="DF68" i="3"/>
  <c r="DJ68" i="3" s="1"/>
  <c r="DG68" i="3"/>
  <c r="CX58" i="3"/>
  <c r="CX77" i="3"/>
  <c r="DF75" i="3"/>
  <c r="DJ75" i="3" s="1"/>
  <c r="DH75" i="3"/>
  <c r="DG73" i="3"/>
  <c r="DI71" i="3"/>
  <c r="DF67" i="3"/>
  <c r="DJ67" i="3" s="1"/>
  <c r="DG67" i="3"/>
  <c r="DH67" i="3"/>
  <c r="CX56" i="3"/>
  <c r="CW53" i="3"/>
  <c r="CV50" i="3"/>
  <c r="CX47" i="3"/>
  <c r="CX40" i="3"/>
  <c r="CW38" i="3"/>
  <c r="CW36" i="3"/>
  <c r="CX34" i="3"/>
  <c r="CX32" i="3"/>
  <c r="CW31" i="3"/>
  <c r="CX31" i="3"/>
  <c r="CX7" i="3"/>
  <c r="CX4" i="3"/>
  <c r="DI74" i="3"/>
  <c r="DI70" i="3"/>
  <c r="DI66" i="3"/>
  <c r="DJ66" i="3" s="1"/>
  <c r="CX50" i="3"/>
  <c r="CV30" i="3"/>
  <c r="CX29" i="3"/>
  <c r="CX1" i="3"/>
  <c r="CX52" i="3"/>
  <c r="CV45" i="3"/>
  <c r="CX42" i="3"/>
  <c r="CW28" i="3"/>
  <c r="CX26" i="3"/>
  <c r="CX25" i="3"/>
  <c r="CX24" i="3"/>
  <c r="CW22" i="3"/>
  <c r="CW20" i="3"/>
  <c r="CX18" i="3"/>
  <c r="DG15" i="3"/>
  <c r="DH15" i="3"/>
  <c r="DI15" i="3"/>
  <c r="DH14" i="3"/>
  <c r="DI14" i="3"/>
  <c r="DF14" i="3"/>
  <c r="DJ14" i="3" s="1"/>
  <c r="DI13" i="3"/>
  <c r="DF13" i="3"/>
  <c r="DJ13" i="3" s="1"/>
  <c r="DG13" i="3"/>
  <c r="CX41" i="3"/>
  <c r="CV12" i="3"/>
  <c r="CX12" i="3"/>
  <c r="DI11" i="3"/>
  <c r="DF11" i="3"/>
  <c r="DJ11" i="3" s="1"/>
  <c r="DG11" i="3"/>
  <c r="DG9" i="3"/>
  <c r="DH9" i="3"/>
  <c r="DI9" i="3"/>
  <c r="CV6" i="3"/>
  <c r="CX6" i="3"/>
  <c r="CX38" i="3"/>
  <c r="CX36" i="3"/>
  <c r="CX22" i="3"/>
  <c r="CX20" i="3"/>
  <c r="DF8" i="3"/>
  <c r="G23" i="6" l="1"/>
  <c r="G22" i="6"/>
  <c r="G238" i="6"/>
  <c r="G226" i="6"/>
  <c r="DF26" i="3"/>
  <c r="DJ26" i="3" s="1"/>
  <c r="DG26" i="3"/>
  <c r="DH26" i="3"/>
  <c r="DI26" i="3"/>
  <c r="DG4" i="3"/>
  <c r="DH4" i="3"/>
  <c r="DI4" i="3"/>
  <c r="DJ4" i="3" s="1"/>
  <c r="DF4" i="3"/>
  <c r="DI40" i="3"/>
  <c r="DF40" i="3"/>
  <c r="DJ40" i="3" s="1"/>
  <c r="DG40" i="3"/>
  <c r="DH40" i="3"/>
  <c r="DF77" i="3"/>
  <c r="DH77" i="3"/>
  <c r="DI77" i="3"/>
  <c r="DJ77" i="3" s="1"/>
  <c r="DG77" i="3"/>
  <c r="DI95" i="3"/>
  <c r="DF95" i="3"/>
  <c r="DG95" i="3"/>
  <c r="DJ95" i="3" s="1"/>
  <c r="DH95" i="3"/>
  <c r="DI23" i="3"/>
  <c r="DF23" i="3"/>
  <c r="DJ23" i="3" s="1"/>
  <c r="DG23" i="3"/>
  <c r="DH23" i="3"/>
  <c r="DI55" i="3"/>
  <c r="DJ55" i="3" s="1"/>
  <c r="DF55" i="3"/>
  <c r="DG55" i="3"/>
  <c r="DH55" i="3"/>
  <c r="DG96" i="3"/>
  <c r="DJ96" i="3" s="1"/>
  <c r="DH96" i="3"/>
  <c r="DI96" i="3"/>
  <c r="DF96" i="3"/>
  <c r="DI80" i="3"/>
  <c r="DH80" i="3"/>
  <c r="DF80" i="3"/>
  <c r="DG80" i="3"/>
  <c r="DJ80" i="3" s="1"/>
  <c r="DH109" i="3"/>
  <c r="DI109" i="3"/>
  <c r="DJ109" i="3" s="1"/>
  <c r="DF109" i="3"/>
  <c r="DG109" i="3"/>
  <c r="DI113" i="3"/>
  <c r="DJ113" i="3" s="1"/>
  <c r="DF113" i="3"/>
  <c r="DG113" i="3"/>
  <c r="DH113" i="3"/>
  <c r="CI49" i="1"/>
  <c r="AZ62" i="1"/>
  <c r="BA49" i="1"/>
  <c r="BA100" i="1"/>
  <c r="F82" i="1"/>
  <c r="S49" i="1"/>
  <c r="S100" i="1"/>
  <c r="F77" i="1"/>
  <c r="F91" i="1" s="1"/>
  <c r="W49" i="1"/>
  <c r="W100" i="1"/>
  <c r="F86" i="1"/>
  <c r="DF36" i="3"/>
  <c r="DG36" i="3"/>
  <c r="DJ36" i="3" s="1"/>
  <c r="DH36" i="3"/>
  <c r="DI36" i="3"/>
  <c r="DH41" i="3"/>
  <c r="DI41" i="3"/>
  <c r="DF41" i="3"/>
  <c r="DJ41" i="3" s="1"/>
  <c r="DG41" i="3"/>
  <c r="DG1" i="3"/>
  <c r="DH1" i="3"/>
  <c r="DI1" i="3"/>
  <c r="DJ1" i="3" s="1"/>
  <c r="DF1" i="3"/>
  <c r="DG7" i="3"/>
  <c r="DH7" i="3"/>
  <c r="DI7" i="3"/>
  <c r="DJ7" i="3" s="1"/>
  <c r="DF7" i="3"/>
  <c r="DF34" i="3"/>
  <c r="DG34" i="3"/>
  <c r="DH34" i="3"/>
  <c r="DI34" i="3"/>
  <c r="DJ34" i="3" s="1"/>
  <c r="DH47" i="3"/>
  <c r="DI47" i="3"/>
  <c r="DF47" i="3"/>
  <c r="DG47" i="3"/>
  <c r="DJ47" i="3" s="1"/>
  <c r="DH58" i="3"/>
  <c r="DI58" i="3"/>
  <c r="DF58" i="3"/>
  <c r="DG58" i="3"/>
  <c r="DJ58" i="3" s="1"/>
  <c r="DH60" i="3"/>
  <c r="DI60" i="3"/>
  <c r="DF60" i="3"/>
  <c r="DG60" i="3"/>
  <c r="DJ60" i="3" s="1"/>
  <c r="DI97" i="3"/>
  <c r="DF97" i="3"/>
  <c r="DG97" i="3"/>
  <c r="DJ97" i="3" s="1"/>
  <c r="DH97" i="3"/>
  <c r="DG86" i="3"/>
  <c r="DH86" i="3"/>
  <c r="DI86" i="3"/>
  <c r="DF86" i="3"/>
  <c r="DJ86" i="3" s="1"/>
  <c r="DF83" i="3"/>
  <c r="DJ83" i="3" s="1"/>
  <c r="DG83" i="3"/>
  <c r="DH83" i="3"/>
  <c r="DI83" i="3"/>
  <c r="DF105" i="3"/>
  <c r="DJ105" i="3" s="1"/>
  <c r="DG105" i="3"/>
  <c r="DH105" i="3"/>
  <c r="DI105" i="3"/>
  <c r="DG104" i="3"/>
  <c r="DH104" i="3"/>
  <c r="DI104" i="3"/>
  <c r="DF104" i="3"/>
  <c r="DJ104" i="3" s="1"/>
  <c r="GM35" i="1"/>
  <c r="GO35" i="1" s="1"/>
  <c r="DI106" i="3"/>
  <c r="DF106" i="3"/>
  <c r="DJ106" i="3" s="1"/>
  <c r="DG106" i="3"/>
  <c r="DH106" i="3"/>
  <c r="DF2" i="3"/>
  <c r="DG2" i="3"/>
  <c r="DH2" i="3"/>
  <c r="DI2" i="3"/>
  <c r="DJ2" i="3" s="1"/>
  <c r="DH21" i="3"/>
  <c r="DI21" i="3"/>
  <c r="DF21" i="3"/>
  <c r="DG21" i="3"/>
  <c r="DJ21" i="3" s="1"/>
  <c r="DH37" i="3"/>
  <c r="DI37" i="3"/>
  <c r="DF37" i="3"/>
  <c r="DG37" i="3"/>
  <c r="DJ37" i="3" s="1"/>
  <c r="DI62" i="3"/>
  <c r="DF62" i="3"/>
  <c r="DJ62" i="3" s="1"/>
  <c r="DG62" i="3"/>
  <c r="DH62" i="3"/>
  <c r="DF61" i="3"/>
  <c r="DG61" i="3"/>
  <c r="DJ61" i="3" s="1"/>
  <c r="DH61" i="3"/>
  <c r="DI61" i="3"/>
  <c r="DG64" i="3"/>
  <c r="DH64" i="3"/>
  <c r="DI64" i="3"/>
  <c r="DF64" i="3"/>
  <c r="DJ64" i="3" s="1"/>
  <c r="DG94" i="3"/>
  <c r="DJ94" i="3" s="1"/>
  <c r="DH94" i="3"/>
  <c r="DI94" i="3"/>
  <c r="DF94" i="3"/>
  <c r="DH89" i="3"/>
  <c r="DI89" i="3"/>
  <c r="DF89" i="3"/>
  <c r="DJ89" i="3" s="1"/>
  <c r="DG89" i="3"/>
  <c r="CZ45" i="1"/>
  <c r="Y45" i="1" s="1"/>
  <c r="CY45" i="1"/>
  <c r="X45" i="1" s="1"/>
  <c r="DF116" i="3"/>
  <c r="DJ116" i="3" s="1"/>
  <c r="DG116" i="3"/>
  <c r="DH116" i="3"/>
  <c r="DI116" i="3"/>
  <c r="CP45" i="1"/>
  <c r="O45" i="1" s="1"/>
  <c r="CZ38" i="1"/>
  <c r="Y38" i="1" s="1"/>
  <c r="AT49" i="1"/>
  <c r="F80" i="1"/>
  <c r="CZ36" i="1"/>
  <c r="Y36" i="1" s="1"/>
  <c r="AQ49" i="1"/>
  <c r="F72" i="1"/>
  <c r="AQ100" i="1"/>
  <c r="AO22" i="1"/>
  <c r="F104" i="1"/>
  <c r="AO138" i="1"/>
  <c r="DG52" i="3"/>
  <c r="DJ52" i="3" s="1"/>
  <c r="DH52" i="3"/>
  <c r="DI52" i="3"/>
  <c r="DF52" i="3"/>
  <c r="DF32" i="3"/>
  <c r="DJ32" i="3" s="1"/>
  <c r="DG32" i="3"/>
  <c r="DH32" i="3"/>
  <c r="DI32" i="3"/>
  <c r="DG115" i="3"/>
  <c r="DJ115" i="3" s="1"/>
  <c r="DH115" i="3"/>
  <c r="DF115" i="3"/>
  <c r="DI115" i="3"/>
  <c r="DI102" i="3"/>
  <c r="DF102" i="3"/>
  <c r="DJ102" i="3" s="1"/>
  <c r="DG102" i="3"/>
  <c r="DH102" i="3"/>
  <c r="DH114" i="3"/>
  <c r="DI114" i="3"/>
  <c r="DJ114" i="3" s="1"/>
  <c r="DF114" i="3"/>
  <c r="DG114" i="3"/>
  <c r="CP24" i="1"/>
  <c r="O24" i="1" s="1"/>
  <c r="AC100" i="1"/>
  <c r="DG17" i="3"/>
  <c r="DH17" i="3"/>
  <c r="DI17" i="3"/>
  <c r="DJ17" i="3" s="1"/>
  <c r="DF17" i="3"/>
  <c r="DI30" i="3"/>
  <c r="DJ30" i="3" s="1"/>
  <c r="DF30" i="3"/>
  <c r="DG30" i="3"/>
  <c r="DH30" i="3"/>
  <c r="DI39" i="3"/>
  <c r="DF39" i="3"/>
  <c r="DJ39" i="3" s="1"/>
  <c r="DG39" i="3"/>
  <c r="DH39" i="3"/>
  <c r="DF48" i="3"/>
  <c r="DG48" i="3"/>
  <c r="DJ48" i="3" s="1"/>
  <c r="DH48" i="3"/>
  <c r="DI48" i="3"/>
  <c r="CY28" i="1"/>
  <c r="X28" i="1" s="1"/>
  <c r="AK100" i="1" s="1"/>
  <c r="AK22" i="1" s="1"/>
  <c r="DF38" i="3"/>
  <c r="DG38" i="3"/>
  <c r="DJ38" i="3" s="1"/>
  <c r="DH38" i="3"/>
  <c r="DI38" i="3"/>
  <c r="DG42" i="3"/>
  <c r="DH42" i="3"/>
  <c r="DF42" i="3"/>
  <c r="DJ42" i="3" s="1"/>
  <c r="DI42" i="3"/>
  <c r="DH63" i="3"/>
  <c r="DI63" i="3"/>
  <c r="DF63" i="3"/>
  <c r="DJ63" i="3" s="1"/>
  <c r="DG63" i="3"/>
  <c r="DF110" i="3"/>
  <c r="DG110" i="3"/>
  <c r="DJ110" i="3" s="1"/>
  <c r="DH110" i="3"/>
  <c r="DI110" i="3"/>
  <c r="DG92" i="3"/>
  <c r="DH92" i="3"/>
  <c r="DI92" i="3"/>
  <c r="DJ92" i="3" s="1"/>
  <c r="DF92" i="3"/>
  <c r="DG112" i="3"/>
  <c r="DH112" i="3"/>
  <c r="DI112" i="3"/>
  <c r="DF112" i="3"/>
  <c r="DJ112" i="3" s="1"/>
  <c r="CC100" i="1"/>
  <c r="CC22" i="1" s="1"/>
  <c r="GM33" i="1"/>
  <c r="GO33" i="1" s="1"/>
  <c r="DF87" i="3"/>
  <c r="DJ87" i="3" s="1"/>
  <c r="DG87" i="3"/>
  <c r="DH87" i="3"/>
  <c r="DI87" i="3"/>
  <c r="DH3" i="3"/>
  <c r="DI3" i="3"/>
  <c r="DF3" i="3"/>
  <c r="DG3" i="3"/>
  <c r="DJ3" i="3" s="1"/>
  <c r="DH19" i="3"/>
  <c r="DI19" i="3"/>
  <c r="DF19" i="3"/>
  <c r="DG19" i="3"/>
  <c r="DJ19" i="3" s="1"/>
  <c r="DG27" i="3"/>
  <c r="DH27" i="3"/>
  <c r="DI27" i="3"/>
  <c r="DJ27" i="3" s="1"/>
  <c r="DF27" i="3"/>
  <c r="DF44" i="3"/>
  <c r="DJ44" i="3" s="1"/>
  <c r="DG44" i="3"/>
  <c r="DH44" i="3"/>
  <c r="DI44" i="3"/>
  <c r="DH35" i="3"/>
  <c r="DI35" i="3"/>
  <c r="DF35" i="3"/>
  <c r="DG35" i="3"/>
  <c r="DJ35" i="3" s="1"/>
  <c r="DF46" i="3"/>
  <c r="DG46" i="3"/>
  <c r="DH46" i="3"/>
  <c r="DI46" i="3"/>
  <c r="DJ46" i="3" s="1"/>
  <c r="DF59" i="3"/>
  <c r="DG59" i="3"/>
  <c r="DJ59" i="3" s="1"/>
  <c r="DH59" i="3"/>
  <c r="DI59" i="3"/>
  <c r="CP36" i="1"/>
  <c r="O36" i="1" s="1"/>
  <c r="GM36" i="1" s="1"/>
  <c r="GO36" i="1" s="1"/>
  <c r="GM37" i="1"/>
  <c r="GO37" i="1" s="1"/>
  <c r="DG100" i="3"/>
  <c r="DJ100" i="3" s="1"/>
  <c r="DH100" i="3"/>
  <c r="DI100" i="3"/>
  <c r="DF100" i="3"/>
  <c r="DH107" i="3"/>
  <c r="DI107" i="3"/>
  <c r="DF107" i="3"/>
  <c r="DJ107" i="3" s="1"/>
  <c r="DG107" i="3"/>
  <c r="DG79" i="3"/>
  <c r="DJ79" i="3" s="1"/>
  <c r="DF79" i="3"/>
  <c r="DH79" i="3"/>
  <c r="DI79" i="3"/>
  <c r="DH85" i="3"/>
  <c r="DI85" i="3"/>
  <c r="DF85" i="3"/>
  <c r="DJ85" i="3" s="1"/>
  <c r="DG85" i="3"/>
  <c r="GM28" i="1"/>
  <c r="GN28" i="1" s="1"/>
  <c r="DI53" i="3"/>
  <c r="DF53" i="3"/>
  <c r="DG53" i="3"/>
  <c r="DJ53" i="3" s="1"/>
  <c r="DH53" i="3"/>
  <c r="GM56" i="1"/>
  <c r="GN56" i="1" s="1"/>
  <c r="GM58" i="1"/>
  <c r="GN58" i="1" s="1"/>
  <c r="DH118" i="3"/>
  <c r="DI118" i="3"/>
  <c r="DF118" i="3"/>
  <c r="DJ118" i="3" s="1"/>
  <c r="DG118" i="3"/>
  <c r="DF117" i="3"/>
  <c r="DJ117" i="3" s="1"/>
  <c r="DH117" i="3"/>
  <c r="DI117" i="3"/>
  <c r="DG117" i="3"/>
  <c r="AE49" i="1"/>
  <c r="R62" i="1"/>
  <c r="U49" i="1"/>
  <c r="F84" i="1"/>
  <c r="U100" i="1"/>
  <c r="BB49" i="1"/>
  <c r="F75" i="1"/>
  <c r="BB100" i="1"/>
  <c r="AL62" i="1"/>
  <c r="GM41" i="1"/>
  <c r="GN41" i="1" s="1"/>
  <c r="BD49" i="1"/>
  <c r="F87" i="1"/>
  <c r="BD100" i="1"/>
  <c r="GM40" i="1"/>
  <c r="GN40" i="1" s="1"/>
  <c r="Q49" i="1"/>
  <c r="Q100" i="1"/>
  <c r="F74" i="1"/>
  <c r="F92" i="1" s="1"/>
  <c r="AX49" i="1"/>
  <c r="AX100" i="1"/>
  <c r="F69" i="1"/>
  <c r="DF22" i="3"/>
  <c r="DG22" i="3"/>
  <c r="DJ22" i="3" s="1"/>
  <c r="DH22" i="3"/>
  <c r="DI22" i="3"/>
  <c r="DF50" i="3"/>
  <c r="DG50" i="3"/>
  <c r="DH50" i="3"/>
  <c r="DI50" i="3"/>
  <c r="DJ50" i="3" s="1"/>
  <c r="DH56" i="3"/>
  <c r="DI56" i="3"/>
  <c r="DJ56" i="3" s="1"/>
  <c r="DF56" i="3"/>
  <c r="DG56" i="3"/>
  <c r="DF101" i="3"/>
  <c r="DJ101" i="3" s="1"/>
  <c r="DG101" i="3"/>
  <c r="DH101" i="3"/>
  <c r="DI101" i="3"/>
  <c r="DI5" i="3"/>
  <c r="DF5" i="3"/>
  <c r="DG5" i="3"/>
  <c r="DJ5" i="3" s="1"/>
  <c r="DH5" i="3"/>
  <c r="DI28" i="3"/>
  <c r="DF28" i="3"/>
  <c r="DG28" i="3"/>
  <c r="DJ28" i="3" s="1"/>
  <c r="DH28" i="3"/>
  <c r="DG33" i="3"/>
  <c r="DH33" i="3"/>
  <c r="DI33" i="3"/>
  <c r="DJ33" i="3" s="1"/>
  <c r="DF33" i="3"/>
  <c r="DI49" i="3"/>
  <c r="DF49" i="3"/>
  <c r="DJ49" i="3" s="1"/>
  <c r="DG49" i="3"/>
  <c r="DH49" i="3"/>
  <c r="DH91" i="3"/>
  <c r="DI91" i="3"/>
  <c r="DJ91" i="3" s="1"/>
  <c r="DF91" i="3"/>
  <c r="DG91" i="3"/>
  <c r="DI84" i="3"/>
  <c r="DF84" i="3"/>
  <c r="DJ84" i="3" s="1"/>
  <c r="DG84" i="3"/>
  <c r="DH84" i="3"/>
  <c r="CP51" i="1"/>
  <c r="O51" i="1" s="1"/>
  <c r="AC62" i="1"/>
  <c r="DH24" i="3"/>
  <c r="DI24" i="3"/>
  <c r="DF24" i="3"/>
  <c r="DJ24" i="3" s="1"/>
  <c r="DG24" i="3"/>
  <c r="DH29" i="3"/>
  <c r="DI29" i="3"/>
  <c r="DF29" i="3"/>
  <c r="DJ29" i="3" s="1"/>
  <c r="DG29" i="3"/>
  <c r="DG31" i="3"/>
  <c r="DJ31" i="3" s="1"/>
  <c r="DH31" i="3"/>
  <c r="DI31" i="3"/>
  <c r="DF31" i="3"/>
  <c r="DI99" i="3"/>
  <c r="DF99" i="3"/>
  <c r="DG99" i="3"/>
  <c r="DJ99" i="3" s="1"/>
  <c r="DH99" i="3"/>
  <c r="DG82" i="3"/>
  <c r="DH82" i="3"/>
  <c r="DI82" i="3"/>
  <c r="DF82" i="3"/>
  <c r="DJ82" i="3" s="1"/>
  <c r="GM27" i="1"/>
  <c r="GN27" i="1" s="1"/>
  <c r="DF20" i="3"/>
  <c r="DG20" i="3"/>
  <c r="DJ20" i="3" s="1"/>
  <c r="DH20" i="3"/>
  <c r="DI20" i="3"/>
  <c r="DF6" i="3"/>
  <c r="DG6" i="3"/>
  <c r="DH6" i="3"/>
  <c r="DI6" i="3"/>
  <c r="DJ6" i="3" s="1"/>
  <c r="DF12" i="3"/>
  <c r="DG12" i="3"/>
  <c r="DH12" i="3"/>
  <c r="DI12" i="3"/>
  <c r="DJ12" i="3" s="1"/>
  <c r="DF18" i="3"/>
  <c r="DG18" i="3"/>
  <c r="DH18" i="3"/>
  <c r="DI18" i="3"/>
  <c r="DJ18" i="3" s="1"/>
  <c r="DG25" i="3"/>
  <c r="DH25" i="3"/>
  <c r="DI25" i="3"/>
  <c r="DF25" i="3"/>
  <c r="DJ25" i="3" s="1"/>
  <c r="DF65" i="3"/>
  <c r="DJ65" i="3" s="1"/>
  <c r="DG65" i="3"/>
  <c r="DH65" i="3"/>
  <c r="DI65" i="3"/>
  <c r="DH54" i="3"/>
  <c r="DI54" i="3"/>
  <c r="DF54" i="3"/>
  <c r="DJ54" i="3" s="1"/>
  <c r="DG54" i="3"/>
  <c r="DI93" i="3"/>
  <c r="DF93" i="3"/>
  <c r="DG93" i="3"/>
  <c r="DJ93" i="3" s="1"/>
  <c r="DH93" i="3"/>
  <c r="DI108" i="3"/>
  <c r="DJ108" i="3" s="1"/>
  <c r="DF108" i="3"/>
  <c r="DG108" i="3"/>
  <c r="DH108" i="3"/>
  <c r="DG90" i="3"/>
  <c r="DH90" i="3"/>
  <c r="DI90" i="3"/>
  <c r="DF90" i="3"/>
  <c r="DJ90" i="3" s="1"/>
  <c r="DG43" i="3"/>
  <c r="DF43" i="3"/>
  <c r="DJ43" i="3" s="1"/>
  <c r="DH43" i="3"/>
  <c r="DI43" i="3"/>
  <c r="DG45" i="3"/>
  <c r="DF45" i="3"/>
  <c r="DH45" i="3"/>
  <c r="DI45" i="3"/>
  <c r="DJ45" i="3" s="1"/>
  <c r="DF57" i="3"/>
  <c r="DG57" i="3"/>
  <c r="DJ57" i="3" s="1"/>
  <c r="DH57" i="3"/>
  <c r="DI57" i="3"/>
  <c r="DG98" i="3"/>
  <c r="DJ98" i="3" s="1"/>
  <c r="DH98" i="3"/>
  <c r="DI98" i="3"/>
  <c r="DF98" i="3"/>
  <c r="DH103" i="3"/>
  <c r="DI103" i="3"/>
  <c r="DF103" i="3"/>
  <c r="DJ103" i="3" s="1"/>
  <c r="DG103" i="3"/>
  <c r="DI88" i="3"/>
  <c r="DF88" i="3"/>
  <c r="DJ88" i="3" s="1"/>
  <c r="DG88" i="3"/>
  <c r="DH88" i="3"/>
  <c r="DI78" i="3"/>
  <c r="DJ78" i="3" s="1"/>
  <c r="DF78" i="3"/>
  <c r="DG78" i="3"/>
  <c r="DH78" i="3"/>
  <c r="DH81" i="3"/>
  <c r="DI81" i="3"/>
  <c r="DF81" i="3"/>
  <c r="DG81" i="3"/>
  <c r="DJ81" i="3" s="1"/>
  <c r="GM38" i="1"/>
  <c r="GO38" i="1" s="1"/>
  <c r="CZ28" i="1"/>
  <c r="Y28" i="1" s="1"/>
  <c r="AL100" i="1" s="1"/>
  <c r="AL22" i="1" s="1"/>
  <c r="DI51" i="3"/>
  <c r="DJ51" i="3" s="1"/>
  <c r="DF51" i="3"/>
  <c r="DG51" i="3"/>
  <c r="DH51" i="3"/>
  <c r="DH111" i="3"/>
  <c r="DI111" i="3"/>
  <c r="DF111" i="3"/>
  <c r="DG111" i="3"/>
  <c r="DJ111" i="3" s="1"/>
  <c r="AI49" i="1"/>
  <c r="V62" i="1"/>
  <c r="AP22" i="1"/>
  <c r="AP138" i="1"/>
  <c r="F109" i="1"/>
  <c r="G16" i="2" s="1"/>
  <c r="G18" i="2" s="1"/>
  <c r="BC49" i="1"/>
  <c r="BC100" i="1"/>
  <c r="F78" i="1"/>
  <c r="AK62" i="1"/>
  <c r="AU49" i="1"/>
  <c r="AU100" i="1"/>
  <c r="F81" i="1"/>
  <c r="AG49" i="1"/>
  <c r="T62" i="1"/>
  <c r="AK49" i="1" l="1"/>
  <c r="X62" i="1"/>
  <c r="S22" i="1"/>
  <c r="F115" i="1"/>
  <c r="S138" i="1"/>
  <c r="AL49" i="1"/>
  <c r="Y62" i="1"/>
  <c r="U22" i="1"/>
  <c r="U138" i="1"/>
  <c r="F122" i="1"/>
  <c r="AC49" i="1"/>
  <c r="P62" i="1"/>
  <c r="CE62" i="1"/>
  <c r="CH62" i="1"/>
  <c r="CF62" i="1"/>
  <c r="AT100" i="1"/>
  <c r="AP18" i="1"/>
  <c r="F147" i="1"/>
  <c r="AC22" i="1"/>
  <c r="CH100" i="1"/>
  <c r="CH22" i="1" s="1"/>
  <c r="CF100" i="1"/>
  <c r="CF22" i="1" s="1"/>
  <c r="CE100" i="1"/>
  <c r="CE22" i="1" s="1"/>
  <c r="R49" i="1"/>
  <c r="R100" i="1"/>
  <c r="F76" i="1"/>
  <c r="AO18" i="1"/>
  <c r="F142" i="1"/>
  <c r="GM51" i="1"/>
  <c r="AB62" i="1"/>
  <c r="BD22" i="1"/>
  <c r="BD138" i="1"/>
  <c r="F125" i="1"/>
  <c r="W22" i="1"/>
  <c r="F124" i="1"/>
  <c r="W138" i="1"/>
  <c r="AZ49" i="1"/>
  <c r="F73" i="1"/>
  <c r="AZ100" i="1"/>
  <c r="AU22" i="1"/>
  <c r="F119" i="1"/>
  <c r="AU138" i="1"/>
  <c r="BC22" i="1"/>
  <c r="BC138" i="1"/>
  <c r="F116" i="1"/>
  <c r="Q22" i="1"/>
  <c r="F112" i="1"/>
  <c r="F130" i="1" s="1"/>
  <c r="Q138" i="1"/>
  <c r="BB22" i="1"/>
  <c r="BB138" i="1"/>
  <c r="F113" i="1"/>
  <c r="T49" i="1"/>
  <c r="F83" i="1"/>
  <c r="T100" i="1"/>
  <c r="V49" i="1"/>
  <c r="V100" i="1"/>
  <c r="F85" i="1"/>
  <c r="AX22" i="1"/>
  <c r="F107" i="1"/>
  <c r="AX138" i="1"/>
  <c r="GM24" i="1"/>
  <c r="AB100" i="1"/>
  <c r="AB22" i="1" s="1"/>
  <c r="AQ22" i="1"/>
  <c r="AQ138" i="1"/>
  <c r="F110" i="1"/>
  <c r="GM45" i="1"/>
  <c r="GN45" i="1" s="1"/>
  <c r="BA22" i="1"/>
  <c r="F120" i="1"/>
  <c r="BA138" i="1"/>
  <c r="GN24" i="1" l="1"/>
  <c r="CB100" i="1" s="1"/>
  <c r="CB22" i="1" s="1"/>
  <c r="CA100" i="1"/>
  <c r="CA22" i="1" s="1"/>
  <c r="GN51" i="1"/>
  <c r="CB62" i="1" s="1"/>
  <c r="CA62" i="1"/>
  <c r="P49" i="1"/>
  <c r="F65" i="1"/>
  <c r="F93" i="1" s="1"/>
  <c r="P100" i="1"/>
  <c r="F129" i="1"/>
  <c r="AQ18" i="1"/>
  <c r="F148" i="1"/>
  <c r="AX18" i="1"/>
  <c r="F145" i="1"/>
  <c r="V22" i="1"/>
  <c r="F123" i="1"/>
  <c r="V138" i="1"/>
  <c r="Q18" i="1"/>
  <c r="F150" i="1"/>
  <c r="F168" i="1" s="1"/>
  <c r="BC18" i="1"/>
  <c r="F154" i="1"/>
  <c r="W18" i="1"/>
  <c r="F162" i="1"/>
  <c r="BD18" i="1"/>
  <c r="F163" i="1"/>
  <c r="AW62" i="1"/>
  <c r="CF49" i="1"/>
  <c r="Y49" i="1"/>
  <c r="Y100" i="1"/>
  <c r="F89" i="1"/>
  <c r="F95" i="1" s="1"/>
  <c r="H16" i="2"/>
  <c r="H18" i="2" s="1"/>
  <c r="R22" i="1"/>
  <c r="R138" i="1"/>
  <c r="F114" i="1"/>
  <c r="J16" i="2" s="1"/>
  <c r="J18" i="2" s="1"/>
  <c r="AT22" i="1"/>
  <c r="F118" i="1"/>
  <c r="F16" i="2" s="1"/>
  <c r="F18" i="2" s="1"/>
  <c r="AT138" i="1"/>
  <c r="AZ22" i="1"/>
  <c r="F111" i="1"/>
  <c r="AZ138" i="1"/>
  <c r="CH49" i="1"/>
  <c r="AY62" i="1"/>
  <c r="X49" i="1"/>
  <c r="F88" i="1"/>
  <c r="F94" i="1" s="1"/>
  <c r="X100" i="1"/>
  <c r="BA18" i="1"/>
  <c r="F158" i="1"/>
  <c r="T22" i="1"/>
  <c r="T138" i="1"/>
  <c r="F121" i="1"/>
  <c r="BB18" i="1"/>
  <c r="F151" i="1"/>
  <c r="AU18" i="1"/>
  <c r="F157" i="1"/>
  <c r="AB49" i="1"/>
  <c r="O62" i="1"/>
  <c r="CE49" i="1"/>
  <c r="AV62" i="1"/>
  <c r="U18" i="1"/>
  <c r="F160" i="1"/>
  <c r="S18" i="1"/>
  <c r="F153" i="1"/>
  <c r="F167" i="1" s="1"/>
  <c r="T18" i="1" l="1"/>
  <c r="F159" i="1"/>
  <c r="X22" i="1"/>
  <c r="X138" i="1"/>
  <c r="F126" i="1"/>
  <c r="F132" i="1" s="1"/>
  <c r="AT18" i="1"/>
  <c r="F156" i="1"/>
  <c r="R18" i="1"/>
  <c r="F152" i="1"/>
  <c r="Y22" i="1"/>
  <c r="F127" i="1"/>
  <c r="F133" i="1" s="1"/>
  <c r="Y138" i="1"/>
  <c r="V18" i="1"/>
  <c r="F161" i="1"/>
  <c r="CA49" i="1"/>
  <c r="AR62" i="1"/>
  <c r="AZ18" i="1"/>
  <c r="F149" i="1"/>
  <c r="P22" i="1"/>
  <c r="F103" i="1"/>
  <c r="F131" i="1" s="1"/>
  <c r="F134" i="1" s="1"/>
  <c r="P138" i="1"/>
  <c r="AS62" i="1"/>
  <c r="CB49" i="1"/>
  <c r="F96" i="1"/>
  <c r="O49" i="1"/>
  <c r="F64" i="1"/>
  <c r="O100" i="1"/>
  <c r="AV49" i="1"/>
  <c r="F67" i="1"/>
  <c r="AV100" i="1"/>
  <c r="AY49" i="1"/>
  <c r="AY100" i="1"/>
  <c r="F70" i="1"/>
  <c r="AW49" i="1"/>
  <c r="F68" i="1"/>
  <c r="AW100" i="1"/>
  <c r="F135" i="1" l="1"/>
  <c r="F136" i="1" s="1"/>
  <c r="AY22" i="1"/>
  <c r="AY138" i="1"/>
  <c r="F108" i="1"/>
  <c r="AV22" i="1"/>
  <c r="AV138" i="1"/>
  <c r="F105" i="1"/>
  <c r="AS49" i="1"/>
  <c r="F79" i="1"/>
  <c r="AS100" i="1"/>
  <c r="P18" i="1"/>
  <c r="F141" i="1"/>
  <c r="F169" i="1" s="1"/>
  <c r="F97" i="1"/>
  <c r="F98" i="1" s="1"/>
  <c r="AR49" i="1"/>
  <c r="F90" i="1"/>
  <c r="AR100" i="1"/>
  <c r="AW22" i="1"/>
  <c r="AW138" i="1"/>
  <c r="F106" i="1"/>
  <c r="O22" i="1"/>
  <c r="O138" i="1"/>
  <c r="F102" i="1"/>
  <c r="Y18" i="1"/>
  <c r="F165" i="1"/>
  <c r="F171" i="1" s="1"/>
  <c r="X18" i="1"/>
  <c r="F164" i="1"/>
  <c r="F170" i="1" s="1"/>
  <c r="AW18" i="1" l="1"/>
  <c r="F144" i="1"/>
  <c r="AY18" i="1"/>
  <c r="F146" i="1"/>
  <c r="O18" i="1"/>
  <c r="F140" i="1"/>
  <c r="AS22" i="1"/>
  <c r="F117" i="1"/>
  <c r="E16" i="2" s="1"/>
  <c r="AS138" i="1"/>
  <c r="AV18" i="1"/>
  <c r="F143" i="1"/>
  <c r="AR22" i="1"/>
  <c r="F128" i="1"/>
  <c r="AR138" i="1"/>
  <c r="F172" i="1"/>
  <c r="I16" i="2" l="1"/>
  <c r="I18" i="2" s="1"/>
  <c r="E18" i="2"/>
  <c r="F173" i="1"/>
  <c r="F174" i="1" s="1"/>
  <c r="AR18" i="1"/>
  <c r="F166" i="1"/>
  <c r="AS18" i="1"/>
  <c r="F155" i="1"/>
</calcChain>
</file>

<file path=xl/sharedStrings.xml><?xml version="1.0" encoding="utf-8"?>
<sst xmlns="http://schemas.openxmlformats.org/spreadsheetml/2006/main" count="4373" uniqueCount="543">
  <si>
    <t>Smeta.RU  (495) 974-1589</t>
  </si>
  <si>
    <t>_PS_</t>
  </si>
  <si>
    <t>Smeta.RU</t>
  </si>
  <si>
    <t/>
  </si>
  <si>
    <t>Новый объект_(Копия)</t>
  </si>
  <si>
    <t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поз.37)_(Копия)</t>
  </si>
  <si>
    <t>Сметные нормы списания</t>
  </si>
  <si>
    <t>Коды ценников</t>
  </si>
  <si>
    <t>Чувашская Республика (редакция 2014)</t>
  </si>
  <si>
    <t>Версия 1.7.3 ГСН (ГЭСН, ФЕР) и ТЕР (Методики НР (812/пр, 636/пр, 611/пр) и СП (774/пр и 317/пр) применять с 08.01.2023 г.)</t>
  </si>
  <si>
    <t>Поправки для НБ 2014 года от 10.05.2023 г. Кап. ремонт жилых и общественных зданий</t>
  </si>
  <si>
    <t>Территориальные единичные расценки Чувашской Республики, утвержденные приказом Минстроя России от  05.05.2015 № 337/пр</t>
  </si>
  <si>
    <t>ТЕР</t>
  </si>
  <si>
    <t>Новая локальная смета</t>
  </si>
  <si>
    <t>1</t>
  </si>
  <si>
    <t>01-01-003-14</t>
  </si>
  <si>
    <t>Разработка грунта в отвал экскаваторами «драглайн» или «обратная лопата» с ковшом вместимостью 0,5 (0,5-0,63) м3, группа грунтов 2</t>
  </si>
  <si>
    <t>1000 м3 грунта</t>
  </si>
  <si>
    <t>ТЕР Чувашская республика (редакция 2014), 01-01-003-14, Приказ Минстроя России от 05.05.2015 № 337/пр</t>
  </si>
  <si>
    <t>*0</t>
  </si>
  <si>
    <t>Общестроительные работы</t>
  </si>
  <si>
    <t>Земляные работы</t>
  </si>
  <si>
    <t>Земляные работы, выполняемые: механизированным способом</t>
  </si>
  <si>
    <t>ФЕР-01</t>
  </si>
  <si>
    <t>Пр/812-001.1-1</t>
  </si>
  <si>
    <t>Пр/774-001.1</t>
  </si>
  <si>
    <t>2</t>
  </si>
  <si>
    <t>01-01-033-2</t>
  </si>
  <si>
    <t>Засыпка траншей и котлованов с перемещением грунта до 5 м бульдозерами мощностью 59 кВт (80 л.с.), группа грунтов 2</t>
  </si>
  <si>
    <t>ТЕР Чувашская республика (редакция 2014), 01-01-033-2, Приказ Минстроя России от 05.05.2015 № 337/пр</t>
  </si>
  <si>
    <t>3</t>
  </si>
  <si>
    <t>01-02-057-2</t>
  </si>
  <si>
    <t>Разработка грунта вручную в траншеях глубиной до 2 м без креплений с откосами, группа грунтов 2</t>
  </si>
  <si>
    <t>100 м3 грунта</t>
  </si>
  <si>
    <t>ТЕР Чувашская республика (редакция 2014), 01-02-057-2, Приказ Минстроя России от 05.05.2015 № 337/пр</t>
  </si>
  <si>
    <t>Земляные работы, выполняемые: ручным способом</t>
  </si>
  <si>
    <t>Пр/812-001.2-1</t>
  </si>
  <si>
    <t>Пр/774-001.2</t>
  </si>
  <si>
    <t>4</t>
  </si>
  <si>
    <t>01-02-061-2</t>
  </si>
  <si>
    <t>Засыпка вручную траншей, пазух котлованов и ям, группа грунтов 2</t>
  </si>
  <si>
    <t>ТЕР Чувашская республика (редакция 2014), 01-02-061-2, Приказ Минстроя России от 05.05.2015 № 337/пр</t>
  </si>
  <si>
    <t>5</t>
  </si>
  <si>
    <t>34-02-003-1</t>
  </si>
  <si>
    <t>Устройство трубопроводов из полиэтиленовых труб до 2 отверстий</t>
  </si>
  <si>
    <t>1 канало-километр трубопровода</t>
  </si>
  <si>
    <t>ТЕР Чувашская республика (редакция 2014), 34-02-003-1, Приказ Минстроя России от 05.05.2015 № 337/пр</t>
  </si>
  <si>
    <t>Сооружения связи, радиовещания и телевидения</t>
  </si>
  <si>
    <t>Сооружения связи , радиовещания и телевидения</t>
  </si>
  <si>
    <t>ФЕР-34</t>
  </si>
  <si>
    <t>Пр/812-028.0-1</t>
  </si>
  <si>
    <t>Пр/774-028.0</t>
  </si>
  <si>
    <t>Сооружения связи, радиовещания и телевидения прокладка и монтаж сетей связи</t>
  </si>
  <si>
    <t>6</t>
  </si>
  <si>
    <t>м08-02-155-1</t>
  </si>
  <si>
    <t>Герметизация проходов при вводе кабелей во взрывоопасные помещения уплотнительной массой</t>
  </si>
  <si>
    <t>1 проход кабеля</t>
  </si>
  <si>
    <t>ТЕРм Чувашская республика (редакция 2014), м08-02-155-1, Приказ Минстроя России от 05.05.2015 № 337/пр</t>
  </si>
  <si>
    <t>Монтажные работы</t>
  </si>
  <si>
    <t>Электротехнические установки: на других объектах</t>
  </si>
  <si>
    <t>мФЕР-08</t>
  </si>
  <si>
    <t>Пр/812-049.3-1</t>
  </si>
  <si>
    <t>Пр/774-049.3</t>
  </si>
  <si>
    <t>7</t>
  </si>
  <si>
    <t>м08-02-148-4</t>
  </si>
  <si>
    <t>Кабель до 35 кВ в проложенных трубах, блоках и коробах, масса 1 м кабеля до 6 кг</t>
  </si>
  <si>
    <t>100 М КАБЕЛЯ</t>
  </si>
  <si>
    <t>ТЕРм Чувашская республика (редакция 2014), м08-02-148-4, Приказ Минстроя России от 05.05.2015 № 337/пр</t>
  </si>
  <si>
    <t>8</t>
  </si>
  <si>
    <t>м08-02-142-1</t>
  </si>
  <si>
    <t>Устройство постели при одном кабеле в траншее</t>
  </si>
  <si>
    <t>ТЕРм Чувашская республика (редакция 2014), м08-02-142-1, Приказ Минстроя России от 05.05.2015 № 337/пр</t>
  </si>
  <si>
    <t>9</t>
  </si>
  <si>
    <t>м08-02-142-2</t>
  </si>
  <si>
    <t>На каждый последующий кабель добавлять к расценке 08-02-142-01</t>
  </si>
  <si>
    <t>ТЕРм Чувашская республика (редакция 2014), м08-02-142-2, Приказ Минстроя России от 05.05.2015 № 337/пр</t>
  </si>
  <si>
    <t>10</t>
  </si>
  <si>
    <t>м08-02-141-4</t>
  </si>
  <si>
    <t>Кабель до 35 кВ в готовых траншеях без покрытий, масса 1 м до 6 кг</t>
  </si>
  <si>
    <t>ТЕРм Чувашская республика (редакция 2014), м08-02-141-4, Приказ Минстроя России от 05.05.2015 № 337/пр</t>
  </si>
  <si>
    <t>11</t>
  </si>
  <si>
    <t>м08-02-143-1</t>
  </si>
  <si>
    <t>Покрытие кабеля, проложенного в траншее кирпичом одного кабеля</t>
  </si>
  <si>
    <t>ТЕРм Чувашская республика (редакция 2014), м08-02-143-1, Приказ Минстроя России от 05.05.2015 № 337/пр</t>
  </si>
  <si>
    <t>12</t>
  </si>
  <si>
    <t>м08-02-143-2</t>
  </si>
  <si>
    <t>Покрытие кабеля, проложенного в траншее кирпичом каждого последующего</t>
  </si>
  <si>
    <t>ТЕРм Чувашская республика (редакция 2014), м08-02-143-2, Приказ Минстроя России от 05.05.2015 № 337/пр</t>
  </si>
  <si>
    <t>13</t>
  </si>
  <si>
    <t>м08-02-146-5</t>
  </si>
  <si>
    <t>Кабель до 35 кВ с креплением накладными скобами, масса 1 м кабеля до 6 кг</t>
  </si>
  <si>
    <t>ТЕРм Чувашская республика (редакция 2014), м08-02-146-5, Приказ Минстроя России от 05.05.2015 № 337/пр</t>
  </si>
  <si>
    <t>14</t>
  </si>
  <si>
    <t>м08-04-741-3</t>
  </si>
  <si>
    <t>Муфта концевая для кабеля с изоляцией из вулканизированного полиэтилена с применением термоусаживаемой перчатки напряжением 6 кВ, сечением до 1х240 мм2</t>
  </si>
  <si>
    <t>1 компл. (3 фазы)</t>
  </si>
  <si>
    <t>ТЕРм Чувашская республика (редакция 2014), м08-04-741-3, Приказ Минстроя России от 05.05.2015 № 337/пр</t>
  </si>
  <si>
    <t>Электротехнические установки: на атомных электростанциях</t>
  </si>
  <si>
    <t>15</t>
  </si>
  <si>
    <t>м08-03-574-9</t>
  </si>
  <si>
    <t>Разводка по устройствам и подключение жил кабелей или проводов сечением до 240 мм2</t>
  </si>
  <si>
    <t>100 жил</t>
  </si>
  <si>
    <t>ТЕРм Чувашская республика (редакция 2014), м08-03-574-9, Приказ Минстроя России от 05.05.2015 № 337/пр</t>
  </si>
  <si>
    <t>16</t>
  </si>
  <si>
    <t>04-01-077-9</t>
  </si>
  <si>
    <t>100 м бурения скважины</t>
  </si>
  <si>
    <t>ТЕР Чувашская республика (редакция 2014), 04-01-077-9, Приказ Минстроя России от 05.05.2015 № 337/пр</t>
  </si>
  <si>
    <t>Скважины</t>
  </si>
  <si>
    <t>ФЕР-04</t>
  </si>
  <si>
    <t>Пр/812-004.0-1</t>
  </si>
  <si>
    <t>Пр/774-004.0</t>
  </si>
  <si>
    <t>16,1</t>
  </si>
  <si>
    <t>103-9011</t>
  </si>
  <si>
    <t>Трубы стальные</t>
  </si>
  <si>
    <t>м</t>
  </si>
  <si>
    <t>ТССЦ Чувашская республика (редакция 2014), 103-9011, Приказ Минстроя России от 05.05.2015 № 337/пр</t>
  </si>
  <si>
    <t>16,2</t>
  </si>
  <si>
    <t>110-0199</t>
  </si>
  <si>
    <t>Полимер для стабилизации буровых скважин EZ MUD</t>
  </si>
  <si>
    <t>т</t>
  </si>
  <si>
    <t>ТССЦ Чувашская республика (редакция 2014), 110-0199, Приказ Минстроя России от 05.05.2015 № 337/пр</t>
  </si>
  <si>
    <t>16,3</t>
  </si>
  <si>
    <t>407-0005</t>
  </si>
  <si>
    <t>Глина бентонитовая</t>
  </si>
  <si>
    <t>ТССЦ Чувашская республика (редакция 2014), 407-0005, Приказ Минстроя России от 05.05.2015 № 337/пр</t>
  </si>
  <si>
    <t>17</t>
  </si>
  <si>
    <t>47-01-046-3</t>
  </si>
  <si>
    <t>Подготовка почвы для устройства партерного и обыкновенного газона с внесением растительной земли слоем 15 см механизированным способом</t>
  </si>
  <si>
    <t>100 м2</t>
  </si>
  <si>
    <t>ТЕР Чувашская республика (редакция 2014), 47-01-046-3, Приказ Минстроя России от 05.05.2015 № 337/пр</t>
  </si>
  <si>
    <t>Озеленение. Защитные лесонасаждения</t>
  </si>
  <si>
    <t>ФЕР-47</t>
  </si>
  <si>
    <t>Пр/812-041.0-1</t>
  </si>
  <si>
    <t>Пр/774-041.0</t>
  </si>
  <si>
    <t>18</t>
  </si>
  <si>
    <t>47-01-046-6</t>
  </si>
  <si>
    <t>Посев газонов партерных, мавританских и обыкновенных вручную</t>
  </si>
  <si>
    <t>ТЕР Чувашская республика (редакция 2014), 47-01-046-6, Приказ Минстроя России от 05.05.2015 № 337/пр</t>
  </si>
  <si>
    <t>18,1</t>
  </si>
  <si>
    <t>414-0340</t>
  </si>
  <si>
    <t>Газон УНИВЕРСАЛЬНЫЙ-АЛЬТЕРНАТИВНЫЙ</t>
  </si>
  <si>
    <t>кг</t>
  </si>
  <si>
    <t>ТССЦ Чувашская республика (редакция 2014), 414-0340, Приказ Минстроя России от 05.05.2015 № 337/пр</t>
  </si>
  <si>
    <t>Новый раздел</t>
  </si>
  <si>
    <t>Материалы</t>
  </si>
  <si>
    <t>19</t>
  </si>
  <si>
    <t>Материал Подрядчика</t>
  </si>
  <si>
    <t>Кабель АПвБШп(г) 4х240</t>
  </si>
  <si>
    <t>Материалы строительные</t>
  </si>
  <si>
    <t>Материалы, изделия и конструкции</t>
  </si>
  <si>
    <t>материалы (03)</t>
  </si>
  <si>
    <t>[1 732,79 / 1,2]</t>
  </si>
  <si>
    <t>0</t>
  </si>
  <si>
    <t>20</t>
  </si>
  <si>
    <t>Муфта термоусаживаемая концевая внутренней установки для бронированного кабеля с наконечниками со срывными болтами(сечение жил 4*150-240), с поясной манжетой и проводом заземления с наконечником</t>
  </si>
  <si>
    <t>шт.</t>
  </si>
  <si>
    <t>[2 413,75 / 1,2]</t>
  </si>
  <si>
    <t>21</t>
  </si>
  <si>
    <t>Полиэтиленовая труба ПЭ диам. 160мм с толщиной стенки 9,5 мм</t>
  </si>
  <si>
    <t>[850 / 1,2]</t>
  </si>
  <si>
    <t>22</t>
  </si>
  <si>
    <t>Полиэтиленовая труба ПЭ диам. 160мм с толщиной стенки 11,8 мм</t>
  </si>
  <si>
    <t>[1 015 / 1,2]</t>
  </si>
  <si>
    <t>23</t>
  </si>
  <si>
    <t>Асбестоцементная (хризотилцементная) безнапорная труба Dy= 150 мм</t>
  </si>
  <si>
    <t>[285 / 1,2]</t>
  </si>
  <si>
    <t>24</t>
  </si>
  <si>
    <t>Песок</t>
  </si>
  <si>
    <t>куб.м</t>
  </si>
  <si>
    <t>[614 / 1,2]</t>
  </si>
  <si>
    <t>25</t>
  </si>
  <si>
    <t>Кирпич керамический одинарный</t>
  </si>
  <si>
    <t>[17,5 / 1,2]</t>
  </si>
  <si>
    <t>26</t>
  </si>
  <si>
    <t>Муфта соединительная для полиэтиленовой трубы диам.160 мм</t>
  </si>
  <si>
    <t>[250 / 1,2]</t>
  </si>
  <si>
    <t>27</t>
  </si>
  <si>
    <t>Уплотнитель кабельных проходов термоусаживаемый</t>
  </si>
  <si>
    <t>[433 / 1,2]</t>
  </si>
  <si>
    <t>28</t>
  </si>
  <si>
    <t>Металлоконструкции разные для монтажа</t>
  </si>
  <si>
    <t>[80 000 / 1,2]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</si>
  <si>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</si>
  <si>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</si>
  <si>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</si>
  <si>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</si>
  <si>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</si>
  <si>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</si>
  <si>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</si>
  <si>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</si>
  <si>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</si>
  <si>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</si>
  <si>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</si>
  <si>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</si>
  <si>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</si>
  <si>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</si>
  <si>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</si>
  <si>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</si>
  <si>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</si>
  <si>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</si>
  <si>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</si>
  <si>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</si>
  <si>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</si>
  <si>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</si>
  <si>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</si>
  <si>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</si>
  <si>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</si>
  <si>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</si>
  <si>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</si>
  <si>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</si>
  <si>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</si>
  <si>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</si>
  <si>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</si>
  <si>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</si>
  <si>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</si>
  <si>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</si>
  <si>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</si>
  <si>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</si>
  <si>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</si>
  <si>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</si>
  <si>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</si>
  <si>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</si>
  <si>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</si>
  <si>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</si>
  <si>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</si>
  <si>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</si>
  <si>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</si>
  <si>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</si>
  <si>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Перевозка</t>
  </si>
  <si>
    <t>Перевозка грузов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</si>
  <si>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</si>
  <si>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</si>
  <si>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</si>
  <si>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</si>
  <si>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</si>
  <si>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</si>
  <si>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З</t>
  </si>
  <si>
    <t>Э</t>
  </si>
  <si>
    <t>ЭММ, в т.ч. ЗПМ</t>
  </si>
  <si>
    <t>М</t>
  </si>
  <si>
    <t>Стоимость материалов</t>
  </si>
  <si>
    <t>Н</t>
  </si>
  <si>
    <t>С</t>
  </si>
  <si>
    <t>СП</t>
  </si>
  <si>
    <t>В</t>
  </si>
  <si>
    <t>НДС</t>
  </si>
  <si>
    <t>НДС 20%</t>
  </si>
  <si>
    <t>И</t>
  </si>
  <si>
    <t>Итого с НДС</t>
  </si>
  <si>
    <t>СТР_РЕК</t>
  </si>
  <si>
    <t>СТРОИТЕЛЬСТВО и РЕКОНСТРУКЦИЯ  зданий и сооружений всех назначений</t>
  </si>
  <si>
    <t>Строительство и реконструкция</t>
  </si>
  <si>
    <t>РЕМ_ЖИЛ</t>
  </si>
  <si>
    <t>КАП. РЕМ. ЖИЛЫХ И ОБЩЕСТВЕННЫХ ЗДАНИЙ</t>
  </si>
  <si>
    <t>Капитальный ремонт жилых и общественных зданий</t>
  </si>
  <si>
    <t>РЕМ_ПР</t>
  </si>
  <si>
    <t>КАП. РЕМ. ПРОИЗВОДСТВЕННЫХ ЗД. и СООРУЖЕНИЙ,  НАРУЖНЫХ ИНЖЕНЕРНЫХ СЕТЕЙ, УЛИЦ И ДОРОГ МЕСТНОГО ЗНАЧЕНИЯ, ИНЖ,СООРУЖЕНИЙ ( ГИДРОТЕХ,СООРУЖ, МОСТОВ И ПУТЕПРОВОДОВ И Т.П.)</t>
  </si>
  <si>
    <t>Капитальный ремонт прозводственных зданий</t>
  </si>
  <si>
    <t>Территория</t>
  </si>
  <si>
    <t>для территории Российской Федерации, не относящейся к районам Крайнего Севера и приравненным к ним местностям</t>
  </si>
  <si>
    <t>МПРКС</t>
  </si>
  <si>
    <t>для территории Российской Федерации, относящейся к местностям, приравненным к районам Крайнего Севера</t>
  </si>
  <si>
    <t>РКС</t>
  </si>
  <si>
    <t>для территории Российской Федерации, относящейся к районам Крайнего Севера</t>
  </si>
  <si>
    <t>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</si>
  <si>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АЭС.</t>
  </si>
  <si>
    <t>Для сборников ФЕР ( при производстве работ на технически сложных объектах ):  ·  { СЛЖ } - (вкл.)    - работа на сложных объектах  (к=1,2 к НР)           ·  { СЛЖ } - (выкл.) - работа на обычных объектах</t>
  </si>
  <si>
    <t>Сложные объекты</t>
  </si>
  <si>
    <t>СТНДРТ</t>
  </si>
  <si>
    <t>При определении сметной стоимости строительства объектов капитального строительства (за исключением АЭС).</t>
  </si>
  <si>
    <t>АЭС_ПНР</t>
  </si>
  <si>
    <t>При определении сметной стоимости строительства объектов капитального строительства АЭС. Пусконаладочные работы (за исключением технологического оборудования АЭС).</t>
  </si>
  <si>
    <t>АЭС</t>
  </si>
  <si>
    <t>АЭС_ПНР_ТЕХ</t>
  </si>
  <si>
    <t>При определении сметной стоимости строительства объектов капитального строительства АЭС. Пусконаладочные работы технологического оборудования АЭС.</t>
  </si>
  <si>
    <t>Для сборника ФЕРм -39  и ФЕРМ-08  ( при работах по контролю сварных соединений) :    {мАЭС} - ( вкл.)  -     при выполнении работ по на АЭС  (HР=101%; СП= 68%;             {мАЭС} - (выкл.) -  при выполнении работ  на обычных объектах</t>
  </si>
  <si>
    <t>АЭС, ПНР технологического оборудования АЭС.</t>
  </si>
  <si>
    <t>ОПТ/В</t>
  </si>
  <si>
    <t>{вкл}    - Прокладка  МЕЖДУГОРОДНЫХ  ВОЛОКОННО-ОПТИЧЕСКИХ ЛИНИЙ (для ФЕРм10, отд. 6 разд.3)  {выкл} - Прокладка  ГОРОДСКИХ               ВОЛОКОННО-ОПТИЧЕСКИХ ЛИНИЙ  (для ФЕРм10, отд. 6 разд.3)</t>
  </si>
  <si>
    <t>Для сборников ФЕРм-10  ( волоконно-оптические линии связи ): ·  {М_ГОР_опт} -  ( вкл.)  - междугородные сети связи ( НР=120% , СП=70% )           ·  {М_ГОР_опт} - ( выкл.) - городские сети связи  ( НР=100%; СП=65%)</t>
  </si>
  <si>
    <t>Прокладка междугородных в/опт. кабелей</t>
  </si>
  <si>
    <t>АВИ</t>
  </si>
  <si>
    <t>(вкл)   -  При работах по ДИСПЕТЧЕРИЗАЦИИ управления движением АВИАТРАНСПОРТОМ {вкл}  (монтажные работы )</t>
  </si>
  <si>
    <t>Для сборников ФЕРм 08;10;11 :    · {мАВИА} -  (вкл.)     -  производство монтажных  работы по диспетчеризации управления  движением авиатранспортном (НР=95%, СП=55%) ;    ·            {мАВИА} -  (выкл. ) -  при производстве работ на прочих объектах , кром</t>
  </si>
  <si>
    <t>Диспетчеризация авиатранспорта</t>
  </si>
  <si>
    <t>ЗАКР</t>
  </si>
  <si>
    <t>{вкл}   -  Обслуживающие и сопутствующие работы в тоннелях при  производстве работ ЗАКРЫТЫМ СПОСОБОМ   {выкл} - Обслуживающие и сопутствующие работы в тоннелях при  производстве работ  ОТКРЫТЫМ</t>
  </si>
  <si>
    <t>Для сборника ФЕР -29 ( сопутствующие работы в тоннелях и метро. ): ·  {ЗАКР} - (вкл.)     -  при выполнении работ в тоннелях  и метро закрытым способом  (НР=145% , СП=75%); ·                {ЗАКР} - (выкл.) -   при выполнении работ в тоннелях и метро  отк</t>
  </si>
  <si>
    <t>Производство работ закрытым способом (обслуживающие процессы)</t>
  </si>
  <si>
    <t>ГОР</t>
  </si>
  <si>
    <t>(вкл) - ФЕРм-08, выполнение работ на горнорудных объектах  (выкл) - ФЕРм-08, выполнение работ на других объектах</t>
  </si>
  <si>
    <t>Выполнение работ на горнорудных объектах</t>
  </si>
  <si>
    <t>ОБ_ПР</t>
  </si>
  <si>
    <t>Объект производственного назначения</t>
  </si>
  <si>
    <t>ОБ_НПР</t>
  </si>
  <si>
    <t>Объект непроизводственного назначения</t>
  </si>
  <si>
    <t>К_НР_РЕМ</t>
  </si>
  <si>
    <t>при ремонте жилых и общественных зданий если  ( если {РЕМ_ЖИЛ}= [вкл.]</t>
  </si>
  <si>
    <t>Для сборников  ФЕР и  ФЕРмр :  · Значение {_МДСрем_НР}= 0,90 -  при ремонте зданий жилого и гражданского назначений ( 0,90 к НР) ;  · Значение {_МДСрем_НР}= 1,00  - при строительстве  и реконструкции  объектов всех назначений</t>
  </si>
  <si>
    <t>п.25</t>
  </si>
  <si>
    <t>К_СП_РЕМ</t>
  </si>
  <si>
    <t>к нормам СП при капитальном ремонте зданий и сооружений всех назначений ( если или {РЕМ_ЖИЛ}=[вкл] , или (РЕМ_ПР}=[вкл] )</t>
  </si>
  <si>
    <t>Для сборников  ФЕР и  ФЕРмр :   · Значение {_МДСрем_СП} = 0.85  -  при ремонте зданий всех назначений ( 0,85 к СП);   · Значение {_МДСрем_СП} = 1,00 -  при строительстве  и реконструкции  объектов всех назначений</t>
  </si>
  <si>
    <t>п.16</t>
  </si>
  <si>
    <t>К_НР_СЛЖ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</si>
  <si>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За исключением объектов атомных электрических станций.  ( если {СЛЖ} = [вкл] )</t>
  </si>
  <si>
    <t>п.27 СЛОЖН</t>
  </si>
  <si>
    <t>К_НР_АЭС</t>
  </si>
  <si>
    <t>При определении сметной стоимости строительства объектов капитального строительства, относящихся к особо опасным и технически сложным. Для объектов атомных электрических станций.  ( если {АЭС} = [вкл] )</t>
  </si>
  <si>
    <t>п.27 АЭС</t>
  </si>
  <si>
    <t>Р_ОКР</t>
  </si>
  <si>
    <t>Разрядность округления результата расчета НР и СП  (с 05.04.2020 - до семи знаков после запятой)</t>
  </si>
  <si>
    <t>Лист_НРиСП</t>
  </si>
  <si>
    <t>Уровень цен</t>
  </si>
  <si>
    <t>Сборник индексов</t>
  </si>
  <si>
    <t>ТСН Чувашской республики (редакция 2014 г)</t>
  </si>
  <si>
    <t>_OBSM_</t>
  </si>
  <si>
    <t>1-1020-21</t>
  </si>
  <si>
    <t>Рабочий строитель среднего разряда 2</t>
  </si>
  <si>
    <t>чел.-ч</t>
  </si>
  <si>
    <t>Затраты труда машинистов</t>
  </si>
  <si>
    <t>чел.час</t>
  </si>
  <si>
    <t>060247</t>
  </si>
  <si>
    <t>ТСЭМ Чувашская республика (редакция 2014), 060247, Приказ Минстроя России от 05.05.2015 № 337/пр</t>
  </si>
  <si>
    <t>Экскаваторы одноковшовые дизельные на гусеничном ходу при работе на других видах строительства 0,5 м3</t>
  </si>
  <si>
    <t>маш.-ч</t>
  </si>
  <si>
    <t>070148</t>
  </si>
  <si>
    <t>ТСЭМ Чувашская республика (редакция 2014), 070148, Приказ Минстроя России от 05.05.2015 № 337/пр</t>
  </si>
  <si>
    <t>Бульдозеры при работе на других видах строительства 59 кВт (80 л.с.)</t>
  </si>
  <si>
    <t>1-1015-21</t>
  </si>
  <si>
    <t>Рабочий строитель среднего разряда 1,5</t>
  </si>
  <si>
    <t>1-1029-21</t>
  </si>
  <si>
    <t>Рабочий строитель среднего разряда 2,9</t>
  </si>
  <si>
    <t>101-0070</t>
  </si>
  <si>
    <t>ТССЦ Чувашская республика (редакция 2014), 101-0070, Приказ Минстроя России от 05.05.2015 № 337/пр</t>
  </si>
  <si>
    <t>Бензин автомобильный АИ-98, АИ-95 «Экстра», АИ-93</t>
  </si>
  <si>
    <t>102-0097</t>
  </si>
  <si>
    <t>ТССЦ Чувашская республика (редакция 2014), 102-0097, Приказ Минстроя России от 05.05.2015 № 337/пр</t>
  </si>
  <si>
    <t>Брусья необрезные хвойных пород длиной 2-3,75 м, все ширины, толщиной 100-125 мм, III сорта</t>
  </si>
  <si>
    <t>м3</t>
  </si>
  <si>
    <t>507-0546</t>
  </si>
  <si>
    <t>ТССЦ Чувашская республика (редакция 2014), 507-0546, Приказ Минстроя России от 05.05.2015 № 337/пр</t>
  </si>
  <si>
    <t>Трубы полиэтиленовые низкого давления (ПНД) с наружным диаметром 110 мм</t>
  </si>
  <si>
    <t>1-2040-21</t>
  </si>
  <si>
    <t>Рабочий монтажник среднего разряда 4</t>
  </si>
  <si>
    <t>101-1705</t>
  </si>
  <si>
    <t>ТССЦ Чувашская республика (редакция 2014), 101-1705, Приказ Минстроя России от 05.05.2015 № 337/пр</t>
  </si>
  <si>
    <t>Пакля пропитанная</t>
  </si>
  <si>
    <t>509-0900</t>
  </si>
  <si>
    <t>ТССЦ Чувашская республика (редакция 2014), 509-0900, Приказ Минстроя России от 05.05.2015 № 337/пр</t>
  </si>
  <si>
    <t>Уплотнительный состав</t>
  </si>
  <si>
    <t>509-0988</t>
  </si>
  <si>
    <t>ТССЦ Чувашская республика (редакция 2014), 509-0988, Приказ Минстроя России от 05.05.2015 № 337/пр</t>
  </si>
  <si>
    <t>Шнур асбестовый общего назначения марки ШАОН диаметром 3-5 мм</t>
  </si>
  <si>
    <t>999-9950</t>
  </si>
  <si>
    <t>ТССЦ Чувашская республика (редакция 2014), 999-9950, Приказ Минстроя России от 05.05.2015 № 337/пр</t>
  </si>
  <si>
    <t>Вспомогательные ненормируемые материалы (2% от ОЗП)</t>
  </si>
  <si>
    <t>РУБ</t>
  </si>
  <si>
    <t>021102</t>
  </si>
  <si>
    <t>ТСЭМ Чувашская республика (редакция 2014), 021102, Приказ Минстроя России от 05.05.2015 № 337/пр</t>
  </si>
  <si>
    <t>Краны на автомобильном ходу при работе на монтаже технологического оборудования 10 т</t>
  </si>
  <si>
    <t>030203</t>
  </si>
  <si>
    <t>ТСЭМ Чувашская республика (редакция 2014), 030203, Приказ Минстроя России от 05.05.2015 № 337/пр</t>
  </si>
  <si>
    <t>Домкраты гидравлические грузоподъемностью 63-100 т</t>
  </si>
  <si>
    <t>030404</t>
  </si>
  <si>
    <t>ТСЭМ Чувашская республика (редакция 2014), 030404, Приказ Минстроя России от 05.05.2015 № 337/пр</t>
  </si>
  <si>
    <t>Лебедки электрические тяговым усилием до 31,39 кН (3,2 т)</t>
  </si>
  <si>
    <t>400001</t>
  </si>
  <si>
    <t>ТСЭМ Чувашская республика (редакция 2014), 400001, Приказ Минстроя России от 05.05.2015 № 337/пр</t>
  </si>
  <si>
    <t>Автомобили бортовые, грузоподъемность до 5 т</t>
  </si>
  <si>
    <t>101-2478</t>
  </si>
  <si>
    <t>ТССЦ Чувашская республика (редакция 2014), 101-2478, Приказ Минстроя России от 05.05.2015 № 337/пр</t>
  </si>
  <si>
    <t>Лента К226</t>
  </si>
  <si>
    <t>100 м</t>
  </si>
  <si>
    <t>113-1786</t>
  </si>
  <si>
    <t>ТССЦ Чувашская республика (редакция 2014), 113-1786, Приказ Минстроя России от 05.05.2015 № 337/пр</t>
  </si>
  <si>
    <t>Лак битумный БТ-123</t>
  </si>
  <si>
    <t>506-1362</t>
  </si>
  <si>
    <t>ТССЦ Чувашская республика (редакция 2014), 506-1362, Приказ Минстроя России от 05.05.2015 № 337/пр</t>
  </si>
  <si>
    <t>Припои оловянно-свинцовые бессурьмянистые марки ПОС30</t>
  </si>
  <si>
    <t>101-1641</t>
  </si>
  <si>
    <t>ТССЦ Чувашская республика (редакция 2014), 101-1641, Приказ Минстроя России от 05.05.2015 № 337/пр</t>
  </si>
  <si>
    <t>Сталь угловая равнополочная, марка стали ВСт3кп2, размером 50x50x5 мм</t>
  </si>
  <si>
    <t>101-1755</t>
  </si>
  <si>
    <t>ТССЦ Чувашская республика (редакция 2014), 101-1755, Приказ Минстроя России от 05.05.2015 № 337/пр</t>
  </si>
  <si>
    <t>Сталь полосовая, марка стали Ст3сп шириной 50-200 мм толщиной 4-5 мм</t>
  </si>
  <si>
    <t>101-2143</t>
  </si>
  <si>
    <t>ТССЦ Чувашская республика (редакция 2014), 101-2143, Приказ Минстроя России от 05.05.2015 № 337/пр</t>
  </si>
  <si>
    <t>Краска</t>
  </si>
  <si>
    <t>031050</t>
  </si>
  <si>
    <t>ТСЭМ Чувашская республика (редакция 2014), 031050, Приказ Минстроя России от 05.05.2015 № 337/пр</t>
  </si>
  <si>
    <t>Вышка телескопическая 25 м</t>
  </si>
  <si>
    <t>101-0069</t>
  </si>
  <si>
    <t>ТССЦ Чувашская республика (редакция 2014), 101-0069, Приказ Минстроя России от 05.05.2015 № 337/пр</t>
  </si>
  <si>
    <t>Бензин авиационный Б-70</t>
  </si>
  <si>
    <t>101-0501</t>
  </si>
  <si>
    <t>ТССЦ Чувашская республика (редакция 2014), 101-0501, Приказ Минстроя России от 05.05.2015 № 337/пр</t>
  </si>
  <si>
    <t>Лаки канифольные, марки КФ-965</t>
  </si>
  <si>
    <t>101-2278</t>
  </si>
  <si>
    <t>ТССЦ Чувашская республика (редакция 2014), 101-2278, Приказ Минстроя России от 05.05.2015 № 337/пр</t>
  </si>
  <si>
    <t>Пропан-бутан, смесь техническая</t>
  </si>
  <si>
    <t>101-2499</t>
  </si>
  <si>
    <t>ТССЦ Чувашская республика (редакция 2014), 101-2499, Приказ Минстроя России от 05.05.2015 № 337/пр</t>
  </si>
  <si>
    <t>Лента изоляционная прорезиненная односторонняя ширина 20 мм, толщина 0,25-0,35 мм</t>
  </si>
  <si>
    <t>502-0246</t>
  </si>
  <si>
    <t>ТССЦ Чувашская республика (редакция 2014), 502-0246, Приказ Минстроя России от 05.05.2015 № 337/пр</t>
  </si>
  <si>
    <t>Провода неизолированные для воздушных линий электропередачи медные марки М, сечением 4 мм2</t>
  </si>
  <si>
    <t>509-0815</t>
  </si>
  <si>
    <t>ТССЦ Чувашская республика (редакция 2014), 509-0815, Приказ Минстроя России от 05.05.2015 № 337/пр</t>
  </si>
  <si>
    <t>Манжета термоусаживаемая</t>
  </si>
  <si>
    <t>509-0816</t>
  </si>
  <si>
    <t>ТССЦ Чувашская республика (редакция 2014), 509-0816, Приказ Минстроя России от 05.05.2015 № 337/пр</t>
  </si>
  <si>
    <t>Перчатка термоусаживаемая</t>
  </si>
  <si>
    <t>1-2042-21</t>
  </si>
  <si>
    <t>Рабочий монтажник среднего разряда 4,2</t>
  </si>
  <si>
    <t>350451</t>
  </si>
  <si>
    <t>ТСЭМ Чувашская республика (редакция 2014), 350451, Приказ Минстроя России от 05.05.2015 № 337/пр</t>
  </si>
  <si>
    <t>Пресс гидравлический с электроприводом</t>
  </si>
  <si>
    <t>101-1964</t>
  </si>
  <si>
    <t>ТССЦ Чувашская республика (редакция 2014), 101-1964, Приказ Минстроя России от 05.05.2015 № 337/пр</t>
  </si>
  <si>
    <t>Шпагат бумажный</t>
  </si>
  <si>
    <t>101-1977</t>
  </si>
  <si>
    <t>ТССЦ Чувашская республика (редакция 2014), 101-1977, Приказ Минстроя России от 05.05.2015 № 337/пр</t>
  </si>
  <si>
    <t>Болты с гайками и шайбами строительные</t>
  </si>
  <si>
    <t>101-2365</t>
  </si>
  <si>
    <t>ТССЦ Чувашская республика (редакция 2014), 101-2365, Приказ Минстроя России от 05.05.2015 № 337/пр</t>
  </si>
  <si>
    <t>Нитки швейные</t>
  </si>
  <si>
    <t>111-0087</t>
  </si>
  <si>
    <t>ТССЦ Чувашская республика (редакция 2014), 111-0087, Приказ Минстроя России от 05.05.2015 № 337/пр</t>
  </si>
  <si>
    <t>Бирки-оконцеватели</t>
  </si>
  <si>
    <t>100 шт.</t>
  </si>
  <si>
    <t>509-1210</t>
  </si>
  <si>
    <t>ТССЦ Чувашская республика (редакция 2014), 509-1210, Приказ Минстроя России от 05.05.2015 № 337/пр</t>
  </si>
  <si>
    <t>Вазелин технический</t>
  </si>
  <si>
    <t>1-1043-21</t>
  </si>
  <si>
    <t>Рабочий строитель среднего разряда 4,3</t>
  </si>
  <si>
    <t>021143</t>
  </si>
  <si>
    <t>ТСЭМ Чувашская республика (редакция 2014), 021143, Приказ Минстроя России от 05.05.2015 № 337/пр</t>
  </si>
  <si>
    <t>Краны на автомобильном ходу при работе на других видах строительства 16 т</t>
  </si>
  <si>
    <t>040102</t>
  </si>
  <si>
    <t>ТСЭМ Чувашская республика (редакция 2014), 040102, Приказ Минстроя России от 05.05.2015 № 337/пр</t>
  </si>
  <si>
    <t>Электростанции передвижные 4 кВт</t>
  </si>
  <si>
    <t>040202</t>
  </si>
  <si>
    <t>ТСЭМ Чувашская республика (редакция 2014), 040202, Приказ Минстроя России от 05.05.2015 № 337/пр</t>
  </si>
  <si>
    <t>Агрегаты сварочные передвижные с номинальным сварочным током 250-400 А с дизельным двигателем</t>
  </si>
  <si>
    <t>040504</t>
  </si>
  <si>
    <t>ТСЭМ Чувашская республика (редакция 2014), 040504, Приказ Минстроя России от 05.05.2015 № 337/пр</t>
  </si>
  <si>
    <t>Аппарат для газовой сварки и резки</t>
  </si>
  <si>
    <t>060338</t>
  </si>
  <si>
    <t>ТСЭМ Чувашская республика (редакция 2014), 060338, Приказ Минстроя России от 05.05.2015 № 337/пр</t>
  </si>
  <si>
    <t>Экскаваторы одноковшовые дизельные на пневмоколесном ходу при работе на других видах строительства 0,4 м3</t>
  </si>
  <si>
    <t>121601</t>
  </si>
  <si>
    <t>ТСЭМ Чувашская республика (редакция 2014), 121601, Приказ Минстроя России от 05.05.2015 № 337/пр</t>
  </si>
  <si>
    <t>Машины поливомоечные 6000 л</t>
  </si>
  <si>
    <t>253901</t>
  </si>
  <si>
    <t>ТСЭМ Чувашская республика (редакция 2014), 253901, Приказ Минстроя России от 05.05.2015 № 337/пр</t>
  </si>
  <si>
    <t>Машины горизонтального бурения прессово-шнековые с тяговым усилием 203 тс (2000 кН) фирмы SCHIDT, KRANZ-GRUPPE</t>
  </si>
  <si>
    <t>400051</t>
  </si>
  <si>
    <t>ТСЭМ Чувашская республика (редакция 2014), 400051, Приказ Минстроя России от 05.05.2015 № 337/пр</t>
  </si>
  <si>
    <t>Автомобиль-самосвал, грузоподъемность до 7 т</t>
  </si>
  <si>
    <t>101-0324</t>
  </si>
  <si>
    <t>ТССЦ Чувашская республика (редакция 2014), 101-0324, Приказ Минстроя России от 05.05.2015 № 337/пр</t>
  </si>
  <si>
    <t>Кислород технический газообразный</t>
  </si>
  <si>
    <t>101-1518</t>
  </si>
  <si>
    <t>ТССЦ Чувашская республика (редакция 2014), 101-1518, Приказ Минстроя России от 05.05.2015 № 337/пр</t>
  </si>
  <si>
    <t>Электроды диаметром 4 мм Э50А</t>
  </si>
  <si>
    <t>101-1602</t>
  </si>
  <si>
    <t>ТССЦ Чувашская республика (редакция 2014), 101-1602, Приказ Минстроя России от 05.05.2015 № 337/пр</t>
  </si>
  <si>
    <t>Ацетилен газообразный технический</t>
  </si>
  <si>
    <t>411-0001</t>
  </si>
  <si>
    <t>ТССЦ Чувашская республика (редакция 2014), 411-0001, Приказ Минстроя России от 05.05.2015 № 337/пр</t>
  </si>
  <si>
    <t>Вода</t>
  </si>
  <si>
    <t>1-1022-21</t>
  </si>
  <si>
    <t>Рабочий строитель среднего разряда 2,2</t>
  </si>
  <si>
    <t>010410</t>
  </si>
  <si>
    <t>ТСЭМ Чувашская республика (редакция 2014), 010410, Приказ Минстроя России от 05.05.2015 № 337/пр</t>
  </si>
  <si>
    <t>Тракторы на пневмоколесном ходу при работе на других видах строительства 59 кВт (80 л.с.)</t>
  </si>
  <si>
    <t>092701</t>
  </si>
  <si>
    <t>ТСЭМ Чувашская республика (редакция 2014), 092701, Приказ Минстроя России от 05.05.2015 № 337/пр</t>
  </si>
  <si>
    <t>Катки прицепные кольчатые 1 т</t>
  </si>
  <si>
    <t>407-0013</t>
  </si>
  <si>
    <t>ТССЦ Чувашская республика (редакция 2014), 407-0013, Приказ Минстроя России от 05.05.2015 № 337/пр</t>
  </si>
  <si>
    <t>Земля растительная механизированной заготовки</t>
  </si>
  <si>
    <t>414-0137</t>
  </si>
  <si>
    <t>ТССЦ Чувашская республика (редакция 2014), 414-0137, Приказ Минстроя России от 05.05.2015 № 337/пр</t>
  </si>
  <si>
    <t>Семена газонных трав (смесь)</t>
  </si>
  <si>
    <t>Бурение с предварительным расширением скважины длиной 50 м машиной горизонтального бурения прессово-шнековой с усилием продавливания 203 ТС (2000кН) фирмы SHMIDT, KRANZ-GRUPPE трехступенчатым методом с одновременным продавливанием отрезков (длиной по 4 м), сваренных между собой стальных трубопроводов диаметром 325 мм</t>
  </si>
  <si>
    <t>"СОГЛАСОВАНО"</t>
  </si>
  <si>
    <t>"УТВЕРЖДАЮ"</t>
  </si>
  <si>
    <t>"_____"________________ 2024 г.</t>
  </si>
  <si>
    <t xml:space="preserve">  на</t>
  </si>
  <si>
    <t>(наименование работ и затрат, наименование объекта)</t>
  </si>
  <si>
    <t>базовая цена</t>
  </si>
  <si>
    <t>текущая цена</t>
  </si>
  <si>
    <t>Сметная стоимость</t>
  </si>
  <si>
    <t>тыс.руб</t>
  </si>
  <si>
    <t xml:space="preserve">     Строительные работы</t>
  </si>
  <si>
    <t xml:space="preserve">     Монтажные работы</t>
  </si>
  <si>
    <t xml:space="preserve">     Оборудование</t>
  </si>
  <si>
    <t xml:space="preserve">     Прочие работы</t>
  </si>
  <si>
    <t>Нормативная трудоемкость</t>
  </si>
  <si>
    <t>Средства на оплату труда</t>
  </si>
  <si>
    <t>№ п/п</t>
  </si>
  <si>
    <t>Шифр расценки и коды ресурсов</t>
  </si>
  <si>
    <t>Наименование работ и затрат</t>
  </si>
  <si>
    <t>Единица изме-рения</t>
  </si>
  <si>
    <t>Кол-во единиц</t>
  </si>
  <si>
    <t>Цена на ед. изм. руб.</t>
  </si>
  <si>
    <t>попра-вочные коэффиц.</t>
  </si>
  <si>
    <t>Стоимость в ценах 2001г.</t>
  </si>
  <si>
    <t>Пункт коэффиц. пересчета</t>
  </si>
  <si>
    <t>Коэфф. пересчета</t>
  </si>
  <si>
    <t>Стоимость в текущих ценах</t>
  </si>
  <si>
    <t>ЗТР всего чел.-час</t>
  </si>
  <si>
    <t>Составлена в ценах ТСН Чувашской республики (редакция 2014 г) декабрь 2023 года</t>
  </si>
  <si>
    <t>Зарплата</t>
  </si>
  <si>
    <t>в т.ч. зарплата машинистов</t>
  </si>
  <si>
    <t>НР от ФОТ</t>
  </si>
  <si>
    <t>%</t>
  </si>
  <si>
    <t>СП от ФОТ</t>
  </si>
  <si>
    <t>Затраты труда</t>
  </si>
  <si>
    <t>чел-ч</t>
  </si>
  <si>
    <t>Материальные ресурсы</t>
  </si>
  <si>
    <r>
      <t>Кабель АПвБШп(г) 4х240</t>
    </r>
    <r>
      <rPr>
        <i/>
        <sz val="10"/>
        <rFont val="Arial"/>
        <family val="2"/>
        <charset val="204"/>
      </rPr>
      <t xml:space="preserve">
1 443,99 = [1 732,79 / 1,2]</t>
    </r>
  </si>
  <si>
    <r>
      <t>Муфта термоусаживаемая концевая внутренней установки для бронированного кабеля с наконечниками со срывными болтами(сечение жил 4*150-240), с поясной манжетой и проводом заземления с наконечником</t>
    </r>
    <r>
      <rPr>
        <i/>
        <sz val="10"/>
        <rFont val="Arial"/>
        <family val="2"/>
        <charset val="204"/>
      </rPr>
      <t xml:space="preserve">
2 011,46 = [2 413,75 / 1,2]</t>
    </r>
  </si>
  <si>
    <r>
      <t>Полиэтиленовая труба ПЭ диам. 160мм с толщиной стенки 9,5 мм</t>
    </r>
    <r>
      <rPr>
        <i/>
        <sz val="10"/>
        <rFont val="Arial"/>
        <family val="2"/>
        <charset val="204"/>
      </rPr>
      <t xml:space="preserve">
708,33 = [850 / 1,2]</t>
    </r>
  </si>
  <si>
    <r>
      <t>Полиэтиленовая труба ПЭ диам. 160мм с толщиной стенки 11,8 мм</t>
    </r>
    <r>
      <rPr>
        <i/>
        <sz val="10"/>
        <rFont val="Arial"/>
        <family val="2"/>
        <charset val="204"/>
      </rPr>
      <t xml:space="preserve">
845,83 = [1 015 / 1,2]</t>
    </r>
  </si>
  <si>
    <r>
      <t>Асбестоцементная (хризотилцементная) безнапорная труба Dy= 150 мм</t>
    </r>
    <r>
      <rPr>
        <i/>
        <sz val="10"/>
        <rFont val="Arial"/>
        <family val="2"/>
        <charset val="204"/>
      </rPr>
      <t xml:space="preserve">
237,50 = [285 / 1,2]</t>
    </r>
  </si>
  <si>
    <r>
      <t>Песок</t>
    </r>
    <r>
      <rPr>
        <i/>
        <sz val="10"/>
        <rFont val="Arial"/>
        <family val="2"/>
        <charset val="204"/>
      </rPr>
      <t xml:space="preserve">
511,67 = [614 / 1,2]</t>
    </r>
  </si>
  <si>
    <r>
      <t>Кирпич керамический одинарный</t>
    </r>
    <r>
      <rPr>
        <i/>
        <sz val="10"/>
        <rFont val="Arial"/>
        <family val="2"/>
        <charset val="204"/>
      </rPr>
      <t xml:space="preserve">
14,58 = [17,5 / 1,2]</t>
    </r>
  </si>
  <si>
    <r>
      <t>Муфта соединительная для полиэтиленовой трубы диам.160 мм</t>
    </r>
    <r>
      <rPr>
        <i/>
        <sz val="10"/>
        <rFont val="Arial"/>
        <family val="2"/>
        <charset val="204"/>
      </rPr>
      <t xml:space="preserve">
208,33 = [250 / 1,2]</t>
    </r>
  </si>
  <si>
    <r>
      <t>Уплотнитель кабельных проходов термоусаживаемый</t>
    </r>
    <r>
      <rPr>
        <i/>
        <sz val="10"/>
        <rFont val="Arial"/>
        <family val="2"/>
        <charset val="204"/>
      </rPr>
      <t xml:space="preserve">
360,83 = [433 / 1,2]</t>
    </r>
  </si>
  <si>
    <r>
      <t>Металлоконструкции разные для монтажа</t>
    </r>
    <r>
      <rPr>
        <i/>
        <sz val="10"/>
        <rFont val="Arial"/>
        <family val="2"/>
        <charset val="204"/>
      </rPr>
      <t xml:space="preserve">
66 666,67 = [80 000 / 1,2]</t>
    </r>
  </si>
  <si>
    <t>Составил</t>
  </si>
  <si>
    <t>Должность</t>
  </si>
  <si>
    <t>Подпись</t>
  </si>
  <si>
    <t>Ф.И.О.</t>
  </si>
  <si>
    <t>М.П.</t>
  </si>
  <si>
    <t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t>
  </si>
  <si>
    <t xml:space="preserve">ЛОКАЛЬНАЯ СМЕТА </t>
  </si>
  <si>
    <t>Директор ООО "ЯнтарьЭлектро" _________Герасимов А.С.</t>
  </si>
  <si>
    <t>Начальник ПТО</t>
  </si>
  <si>
    <t>Алексеева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</si>
</sst>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\ #,##0.00"/>
  </numFmts>
  <fonts count="23" x14ac:knownFonts="1">
    <font>
      <sz val="10"/>
      <name val="Arial"/>
      <charset val="204"/>
    </font>
    <font>
      <b/>
      <sz val="10"/>
      <color indexed="12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u/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1"/>
      <name val="Arial"/>
      <family val="2"/>
      <charset val="204"/>
    </font>
    <font>
      <b/>
      <sz val="9"/>
      <name val="Arial"/>
      <family val="2"/>
      <charset val="204"/>
    </font>
    <font>
      <i/>
      <sz val="11"/>
      <color rgb="FF00800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rgb="FFFF0000"/>
      <name val="Arial"/>
      <family val="2"/>
      <charset val="204"/>
    </font>
    <font>
      <b/>
      <sz val="10"/>
      <color indexed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6" fillId="0" borderId="2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164" fontId="11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vertical="top" wrapText="1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164" fontId="0" fillId="0" borderId="0" xfId="0" applyNumberFormat="1"/>
    <xf numFmtId="164" fontId="18" fillId="0" borderId="0" xfId="0" applyNumberFormat="1" applyFont="1" applyAlignment="1">
      <alignment horizontal="right"/>
    </xf>
    <xf numFmtId="0" fontId="11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wrapText="1"/>
    </xf>
    <xf numFmtId="0" fontId="17" fillId="0" borderId="2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 wrapText="1"/>
    </xf>
    <xf numFmtId="164" fontId="10" fillId="0" borderId="2" xfId="0" applyNumberFormat="1" applyFont="1" applyBorder="1" applyAlignment="1">
      <alignment horizontal="right"/>
    </xf>
    <xf numFmtId="164" fontId="9" fillId="0" borderId="2" xfId="0" applyNumberFormat="1" applyFont="1" applyBorder="1" applyAlignment="1">
      <alignment horizontal="left"/>
    </xf>
    <xf numFmtId="0" fontId="9" fillId="0" borderId="2" xfId="0" applyFont="1" applyBorder="1" applyAlignment="1">
      <alignment horizontal="right" wrapText="1"/>
    </xf>
    <xf numFmtId="0" fontId="10" fillId="0" borderId="2" xfId="0" applyFont="1" applyBorder="1" applyAlignment="1">
      <alignment horizontal="right"/>
    </xf>
    <xf numFmtId="0" fontId="19" fillId="0" borderId="2" xfId="0" applyFont="1" applyBorder="1" applyAlignment="1">
      <alignment horizontal="left" wrapText="1"/>
    </xf>
    <xf numFmtId="0" fontId="19" fillId="0" borderId="2" xfId="0" applyFont="1" applyBorder="1" applyAlignment="1">
      <alignment horizontal="right" wrapText="1"/>
    </xf>
    <xf numFmtId="0" fontId="19" fillId="0" borderId="2" xfId="0" applyFont="1" applyBorder="1" applyAlignment="1">
      <alignment horizontal="right"/>
    </xf>
    <xf numFmtId="164" fontId="19" fillId="0" borderId="2" xfId="0" applyNumberFormat="1" applyFont="1" applyBorder="1" applyAlignment="1">
      <alignment horizontal="right"/>
    </xf>
    <xf numFmtId="0" fontId="19" fillId="0" borderId="2" xfId="0" quotePrefix="1" applyFont="1" applyBorder="1" applyAlignment="1">
      <alignment horizontal="right" wrapText="1"/>
    </xf>
    <xf numFmtId="0" fontId="12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11" fillId="0" borderId="2" xfId="0" applyFont="1" applyBorder="1"/>
    <xf numFmtId="0" fontId="10" fillId="0" borderId="0" xfId="0" applyFont="1" applyAlignment="1">
      <alignment horizontal="center" vertical="center" wrapText="1"/>
    </xf>
    <xf numFmtId="0" fontId="22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horizontal="right"/>
    </xf>
    <xf numFmtId="0" fontId="14" fillId="0" borderId="0" xfId="0" applyFont="1" applyAlignment="1">
      <alignment horizontal="left" wrapText="1"/>
    </xf>
    <xf numFmtId="16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2" fillId="0" borderId="0" xfId="0" applyFont="1" applyAlignment="1">
      <alignment horizontal="center" wrapText="1"/>
    </xf>
    <xf numFmtId="0" fontId="11" fillId="0" borderId="0" xfId="0" applyFont="1"/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5" fillId="0" borderId="0" xfId="0" applyFont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C3F8-C478-46A7-B90B-3E8E5AF06194}">
  <dimension ref="A1:AM254"/>
  <sheetViews>
    <sheetView tabSelected="1" zoomScale="131" zoomScaleNormal="131" workbookViewId="0">
      <selection activeCell="A257" sqref="A255:XFD257"/>
    </sheetView>
  </sheetViews>
  <sheetFormatPr defaultRowHeight="12.75" x14ac:dyDescent="0.2"/>
  <cols>
    <col min="1" max="1" width="5.7109375" customWidth="1"/>
    <col min="2" max="2" width="11.7109375" customWidth="1"/>
    <col min="3" max="3" width="40.7109375" customWidth="1"/>
    <col min="4" max="5" width="10.7109375" customWidth="1"/>
    <col min="6" max="8" width="12.7109375" customWidth="1"/>
    <col min="9" max="9" width="17.7109375" customWidth="1"/>
    <col min="10" max="10" width="8.7109375" customWidth="1"/>
    <col min="11" max="11" width="12.7109375" customWidth="1"/>
    <col min="12" max="12" width="8.7109375" customWidth="1"/>
    <col min="15" max="29" width="0" hidden="1" customWidth="1"/>
    <col min="30" max="30" width="147.7109375" hidden="1" customWidth="1"/>
    <col min="31" max="31" width="160.7109375" hidden="1" customWidth="1"/>
    <col min="32" max="32" width="0" hidden="1" customWidth="1"/>
    <col min="33" max="33" width="91.7109375" hidden="1" customWidth="1"/>
    <col min="34" max="38" width="0" hidden="1" customWidth="1"/>
    <col min="39" max="39" width="76.7109375" hidden="1" customWidth="1"/>
  </cols>
  <sheetData>
    <row r="1" spans="1:30" x14ac:dyDescent="0.2">
      <c r="A1" s="9" t="str">
        <f>Source!B1</f>
        <v>Smeta.RU  (495) 974-1589</v>
      </c>
    </row>
    <row r="2" spans="1:30" ht="14.25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1"/>
      <c r="L2" s="11"/>
    </row>
    <row r="3" spans="1:30" ht="16.5" x14ac:dyDescent="0.25">
      <c r="A3" s="12"/>
      <c r="B3" s="74" t="s">
        <v>487</v>
      </c>
      <c r="C3" s="74"/>
      <c r="D3" s="74"/>
      <c r="E3" s="74"/>
      <c r="F3" s="11"/>
      <c r="G3" s="11"/>
      <c r="H3" s="74" t="s">
        <v>488</v>
      </c>
      <c r="I3" s="74"/>
      <c r="J3" s="74"/>
      <c r="K3" s="74"/>
      <c r="L3" s="74"/>
    </row>
    <row r="4" spans="1:30" ht="14.25" x14ac:dyDescent="0.2">
      <c r="A4" s="11"/>
      <c r="B4" s="75"/>
      <c r="C4" s="75"/>
      <c r="D4" s="75"/>
      <c r="E4" s="75"/>
      <c r="F4" s="11"/>
      <c r="G4" s="11"/>
      <c r="H4" s="75"/>
      <c r="I4" s="75"/>
      <c r="J4" s="75"/>
      <c r="K4" s="75"/>
      <c r="L4" s="75"/>
    </row>
    <row r="5" spans="1:30" ht="14.25" x14ac:dyDescent="0.2">
      <c r="A5" s="11"/>
      <c r="B5" s="11"/>
      <c r="C5" s="13"/>
      <c r="D5" s="13"/>
      <c r="E5" s="13"/>
      <c r="F5" s="11"/>
      <c r="G5" s="11"/>
      <c r="H5" s="13"/>
      <c r="I5" s="13"/>
      <c r="J5" s="13"/>
      <c r="K5" s="13"/>
      <c r="L5" s="13"/>
    </row>
    <row r="6" spans="1:30" ht="14.25" x14ac:dyDescent="0.2">
      <c r="A6" s="13"/>
      <c r="B6" s="75" t="str">
        <f>CONCATENATE("______________________ ", IF(Source!AL12&lt;&gt;"", Source!AL12, ""))</f>
        <v xml:space="preserve">______________________ </v>
      </c>
      <c r="C6" s="75"/>
      <c r="D6" s="75"/>
      <c r="E6" s="75"/>
      <c r="F6" s="11"/>
      <c r="G6" s="11"/>
      <c r="H6" s="75" t="s">
        <v>540</v>
      </c>
      <c r="I6" s="75"/>
      <c r="J6" s="75"/>
      <c r="K6" s="75"/>
      <c r="L6" s="75"/>
    </row>
    <row r="7" spans="1:30" ht="14.25" x14ac:dyDescent="0.2">
      <c r="A7" s="14"/>
      <c r="B7" s="61" t="s">
        <v>489</v>
      </c>
      <c r="C7" s="61"/>
      <c r="D7" s="61"/>
      <c r="E7" s="61"/>
      <c r="F7" s="11"/>
      <c r="G7" s="11"/>
      <c r="H7" s="61" t="s">
        <v>489</v>
      </c>
      <c r="I7" s="61"/>
      <c r="J7" s="61"/>
      <c r="K7" s="61"/>
      <c r="L7" s="61"/>
    </row>
    <row r="10" spans="1:30" ht="14.25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30" ht="14.25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30" ht="15.75" x14ac:dyDescent="0.25">
      <c r="A12" s="15"/>
      <c r="B12" s="70" t="s">
        <v>539</v>
      </c>
      <c r="C12" s="70"/>
      <c r="D12" s="70"/>
      <c r="E12" s="70"/>
      <c r="F12" s="70"/>
      <c r="G12" s="70"/>
      <c r="H12" s="70"/>
      <c r="I12" s="70"/>
      <c r="J12" s="70"/>
      <c r="K12" s="70"/>
      <c r="L12" s="15"/>
    </row>
    <row r="13" spans="1:30" ht="14.25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30" ht="14.2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30" ht="54" x14ac:dyDescent="0.25">
      <c r="A15" s="11" t="s">
        <v>490</v>
      </c>
      <c r="B15" s="71" t="str">
        <f>Source!G12</f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C15" s="71"/>
      <c r="D15" s="71"/>
      <c r="E15" s="71"/>
      <c r="F15" s="71"/>
      <c r="G15" s="71"/>
      <c r="H15" s="71"/>
      <c r="I15" s="71"/>
      <c r="J15" s="71"/>
      <c r="K15" s="71"/>
      <c r="L15" s="16"/>
      <c r="AD15" s="21" t="str">
        <f>Source!G12</f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</row>
    <row r="16" spans="1:30" ht="14.25" x14ac:dyDescent="0.2">
      <c r="A16" s="11"/>
      <c r="B16" s="72" t="s">
        <v>491</v>
      </c>
      <c r="C16" s="72"/>
      <c r="D16" s="72"/>
      <c r="E16" s="72"/>
      <c r="F16" s="72"/>
      <c r="G16" s="72"/>
      <c r="H16" s="72"/>
      <c r="I16" s="72"/>
      <c r="J16" s="72"/>
      <c r="K16" s="72"/>
      <c r="L16" s="14"/>
    </row>
    <row r="17" spans="1:31" ht="14.25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31" ht="14.25" x14ac:dyDescent="0.2">
      <c r="A18" s="61" t="str">
        <f>CONCATENATE("Основание: ", Source!J20)</f>
        <v xml:space="preserve">Основание: 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AE18" s="22" t="str">
        <f>CONCATENATE("Основание: ", Source!J20)</f>
        <v xml:space="preserve">Основание: </v>
      </c>
    </row>
    <row r="19" spans="1:31" ht="14.25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31" ht="14.25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31" ht="14.25" x14ac:dyDescent="0.2">
      <c r="A21" s="11"/>
      <c r="B21" s="11"/>
      <c r="C21" s="11"/>
      <c r="D21" s="11"/>
      <c r="E21" s="17"/>
      <c r="F21" s="17"/>
      <c r="G21" s="73" t="s">
        <v>492</v>
      </c>
      <c r="H21" s="73"/>
      <c r="I21" s="73" t="s">
        <v>493</v>
      </c>
      <c r="J21" s="73"/>
      <c r="K21" s="11"/>
      <c r="L21" s="11"/>
    </row>
    <row r="22" spans="1:31" ht="15" x14ac:dyDescent="0.25">
      <c r="A22" s="11"/>
      <c r="B22" s="11"/>
      <c r="C22" s="65" t="s">
        <v>494</v>
      </c>
      <c r="D22" s="65"/>
      <c r="E22" s="65"/>
      <c r="F22" s="65"/>
      <c r="G22" s="62">
        <f>SUM(O33:O227)/1000</f>
        <v>482.63203000000004</v>
      </c>
      <c r="H22" s="62"/>
      <c r="I22" s="62">
        <f>ROUND((Source!F136/1000), 2)</f>
        <v>1056.83</v>
      </c>
      <c r="J22" s="62"/>
      <c r="K22" s="67" t="s">
        <v>495</v>
      </c>
      <c r="L22" s="67"/>
    </row>
    <row r="23" spans="1:31" ht="14.25" x14ac:dyDescent="0.2">
      <c r="A23" s="11"/>
      <c r="B23" s="11"/>
      <c r="C23" s="69" t="s">
        <v>496</v>
      </c>
      <c r="D23" s="69"/>
      <c r="E23" s="69"/>
      <c r="F23" s="69"/>
      <c r="G23" s="62">
        <f>SUM(W33:W227)/1000</f>
        <v>478.23901000000006</v>
      </c>
      <c r="H23" s="62"/>
      <c r="I23" s="62">
        <f>ROUND((Source!F117)/1000, 2)</f>
        <v>764.97</v>
      </c>
      <c r="J23" s="62"/>
      <c r="K23" s="67" t="s">
        <v>495</v>
      </c>
      <c r="L23" s="67"/>
    </row>
    <row r="24" spans="1:31" ht="14.25" x14ac:dyDescent="0.2">
      <c r="A24" s="11"/>
      <c r="B24" s="11"/>
      <c r="C24" s="69" t="s">
        <v>497</v>
      </c>
      <c r="D24" s="69"/>
      <c r="E24" s="69"/>
      <c r="F24" s="69"/>
      <c r="G24" s="62">
        <f>SUM(X33:X227)/1000</f>
        <v>4.3930199999999999</v>
      </c>
      <c r="H24" s="62"/>
      <c r="I24" s="62">
        <f>ROUND((Source!F118)/1000, 2)</f>
        <v>115.72</v>
      </c>
      <c r="J24" s="62"/>
      <c r="K24" s="67" t="s">
        <v>495</v>
      </c>
      <c r="L24" s="67"/>
    </row>
    <row r="25" spans="1:31" ht="14.25" x14ac:dyDescent="0.2">
      <c r="A25" s="11"/>
      <c r="B25" s="11"/>
      <c r="C25" s="69" t="s">
        <v>498</v>
      </c>
      <c r="D25" s="69"/>
      <c r="E25" s="69"/>
      <c r="F25" s="69"/>
      <c r="G25" s="62">
        <f>SUM(Y33:Y227)/1000</f>
        <v>0</v>
      </c>
      <c r="H25" s="62"/>
      <c r="I25" s="62">
        <f>ROUND((Source!F109)/1000, 2)</f>
        <v>0</v>
      </c>
      <c r="J25" s="62"/>
      <c r="K25" s="67" t="s">
        <v>495</v>
      </c>
      <c r="L25" s="67"/>
    </row>
    <row r="26" spans="1:31" ht="14.25" x14ac:dyDescent="0.2">
      <c r="A26" s="11"/>
      <c r="B26" s="11"/>
      <c r="C26" s="69" t="s">
        <v>499</v>
      </c>
      <c r="D26" s="69"/>
      <c r="E26" s="69"/>
      <c r="F26" s="69"/>
      <c r="G26" s="62">
        <f>SUM(Z33:Z227)/1000</f>
        <v>0</v>
      </c>
      <c r="H26" s="62"/>
      <c r="I26" s="62">
        <f>ROUND((Source!F119+Source!F120)/1000, 2)</f>
        <v>0</v>
      </c>
      <c r="J26" s="62"/>
      <c r="K26" s="67" t="s">
        <v>495</v>
      </c>
      <c r="L26" s="67"/>
    </row>
    <row r="27" spans="1:31" ht="15" x14ac:dyDescent="0.25">
      <c r="A27" s="11"/>
      <c r="B27" s="11"/>
      <c r="C27" s="65" t="s">
        <v>500</v>
      </c>
      <c r="D27" s="65"/>
      <c r="E27" s="65"/>
      <c r="F27" s="65"/>
      <c r="G27" s="62">
        <f>I27</f>
        <v>288.45490000000001</v>
      </c>
      <c r="H27" s="62"/>
      <c r="I27" s="62">
        <f>(Source!F122+Source!F123)</f>
        <v>288.45490000000001</v>
      </c>
      <c r="J27" s="62"/>
      <c r="K27" s="67" t="s">
        <v>319</v>
      </c>
      <c r="L27" s="67"/>
    </row>
    <row r="28" spans="1:31" ht="15" x14ac:dyDescent="0.25">
      <c r="A28" s="11"/>
      <c r="B28" s="11"/>
      <c r="C28" s="65" t="s">
        <v>501</v>
      </c>
      <c r="D28" s="65"/>
      <c r="E28" s="65"/>
      <c r="F28" s="65"/>
      <c r="G28" s="62">
        <f>SUM(R33:R227)/1000</f>
        <v>2.7683800000000001</v>
      </c>
      <c r="H28" s="62"/>
      <c r="I28" s="62">
        <f>(Source!F115+ Source!F114)/1000</f>
        <v>90.000660000000011</v>
      </c>
      <c r="J28" s="62"/>
      <c r="K28" s="67" t="s">
        <v>495</v>
      </c>
      <c r="L28" s="67"/>
    </row>
    <row r="29" spans="1:31" ht="14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31" ht="14.25" x14ac:dyDescent="0.2">
      <c r="A30" s="68" t="s">
        <v>514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1:31" ht="57" x14ac:dyDescent="0.2">
      <c r="A31" s="18" t="s">
        <v>502</v>
      </c>
      <c r="B31" s="18" t="s">
        <v>503</v>
      </c>
      <c r="C31" s="18" t="s">
        <v>504</v>
      </c>
      <c r="D31" s="18" t="s">
        <v>505</v>
      </c>
      <c r="E31" s="18" t="s">
        <v>506</v>
      </c>
      <c r="F31" s="18" t="s">
        <v>507</v>
      </c>
      <c r="G31" s="18" t="s">
        <v>508</v>
      </c>
      <c r="H31" s="18" t="s">
        <v>509</v>
      </c>
      <c r="I31" s="18" t="s">
        <v>510</v>
      </c>
      <c r="J31" s="18" t="s">
        <v>511</v>
      </c>
      <c r="K31" s="18" t="s">
        <v>512</v>
      </c>
      <c r="L31" s="18" t="s">
        <v>513</v>
      </c>
    </row>
    <row r="32" spans="1:31" ht="14.25" x14ac:dyDescent="0.2">
      <c r="A32" s="19">
        <v>1</v>
      </c>
      <c r="B32" s="19">
        <v>2</v>
      </c>
      <c r="C32" s="19">
        <v>3</v>
      </c>
      <c r="D32" s="19">
        <v>4</v>
      </c>
      <c r="E32" s="19">
        <v>5</v>
      </c>
      <c r="F32" s="19">
        <v>6</v>
      </c>
      <c r="G32" s="19">
        <v>7</v>
      </c>
      <c r="H32" s="19">
        <v>8</v>
      </c>
      <c r="I32" s="19">
        <v>9</v>
      </c>
      <c r="J32" s="19">
        <v>10</v>
      </c>
      <c r="K32" s="19">
        <v>11</v>
      </c>
      <c r="L32" s="20">
        <v>12</v>
      </c>
    </row>
    <row r="33" spans="1:26" ht="71.25" x14ac:dyDescent="0.2">
      <c r="A33" s="23" t="str">
        <f>Source!E24</f>
        <v>1</v>
      </c>
      <c r="B33" s="24" t="str">
        <f>Source!F24</f>
        <v>01-01-003-14</v>
      </c>
      <c r="C33" s="22" t="str">
        <f>Source!G24</f>
        <v>Разработка грунта в отвал экскаваторами «драглайн» или «обратная лопата» с ковшом вместимостью 0,5 (0,5-0,63) м3, группа грунтов 2</v>
      </c>
      <c r="D33" s="25" t="str">
        <f>Source!H24</f>
        <v>1000 м3 грунта</v>
      </c>
      <c r="E33" s="10">
        <f>Source!I24</f>
        <v>2.5000000000000001E-2</v>
      </c>
      <c r="F33" s="27">
        <f>IF(Source!AK24&lt;&gt; 0, Source!AK24,Source!AL24 + Source!AM24 + Source!AO24)</f>
        <v>4134.24</v>
      </c>
      <c r="G33" s="26"/>
      <c r="H33" s="27"/>
      <c r="I33" s="26" t="str">
        <f>Source!BO24</f>
        <v>01-01-003-14</v>
      </c>
      <c r="J33" s="26"/>
      <c r="K33" s="27"/>
      <c r="L33" s="28"/>
      <c r="S33">
        <f>ROUND((Source!FX24/100)*((ROUND(Source!AF24*Source!I24, 2)+ROUND(Source!AE24*Source!I24, 2))), 2)</f>
        <v>10.48</v>
      </c>
      <c r="T33">
        <f>Source!X24</f>
        <v>340.88</v>
      </c>
      <c r="U33">
        <f>ROUND((Source!FY24/100)*((ROUND(Source!AF24*Source!I24, 2)+ROUND(Source!AE24*Source!I24, 2))), 2)</f>
        <v>5.24</v>
      </c>
      <c r="V33">
        <f>Source!Y24</f>
        <v>170.44</v>
      </c>
    </row>
    <row r="34" spans="1:26" x14ac:dyDescent="0.2">
      <c r="C34" s="29" t="str">
        <f>"Объем: "&amp;Source!I24&amp;"=25/"&amp;"1000"</f>
        <v>Объем: 0,025=25/1000</v>
      </c>
    </row>
    <row r="35" spans="1:26" ht="14.25" x14ac:dyDescent="0.2">
      <c r="A35" s="23"/>
      <c r="B35" s="24"/>
      <c r="C35" s="22" t="s">
        <v>515</v>
      </c>
      <c r="D35" s="25"/>
      <c r="E35" s="10"/>
      <c r="F35" s="27">
        <f>Source!AO24</f>
        <v>98.93</v>
      </c>
      <c r="G35" s="26" t="str">
        <f>Source!DG24</f>
        <v/>
      </c>
      <c r="H35" s="27">
        <f>ROUND(Source!AF24*Source!I24, 2)</f>
        <v>2.4700000000000002</v>
      </c>
      <c r="I35" s="26"/>
      <c r="J35" s="26">
        <f>IF(Source!BA24&lt;&gt; 0, Source!BA24, 1)</f>
        <v>32.51</v>
      </c>
      <c r="K35" s="27">
        <f>Source!S24</f>
        <v>80.41</v>
      </c>
      <c r="L35" s="28"/>
      <c r="R35">
        <f>H35</f>
        <v>2.4700000000000002</v>
      </c>
    </row>
    <row r="36" spans="1:26" ht="14.25" x14ac:dyDescent="0.2">
      <c r="A36" s="23"/>
      <c r="B36" s="24"/>
      <c r="C36" s="22" t="s">
        <v>203</v>
      </c>
      <c r="D36" s="25"/>
      <c r="E36" s="10"/>
      <c r="F36" s="27">
        <f>Source!AM24</f>
        <v>4035.31</v>
      </c>
      <c r="G36" s="26" t="str">
        <f>Source!DE24</f>
        <v/>
      </c>
      <c r="H36" s="27">
        <f>ROUND((((Source!ET24)-(Source!EU24))+Source!AE24)*Source!I24, 2)</f>
        <v>100.88</v>
      </c>
      <c r="I36" s="26"/>
      <c r="J36" s="26">
        <f>IF(Source!BB24&lt;&gt; 0, Source!BB24, 1)</f>
        <v>13.23</v>
      </c>
      <c r="K36" s="27">
        <f>Source!Q24</f>
        <v>1334.68</v>
      </c>
      <c r="L36" s="28"/>
    </row>
    <row r="37" spans="1:26" ht="14.25" x14ac:dyDescent="0.2">
      <c r="A37" s="23"/>
      <c r="B37" s="24"/>
      <c r="C37" s="22" t="s">
        <v>516</v>
      </c>
      <c r="D37" s="25"/>
      <c r="E37" s="10"/>
      <c r="F37" s="27">
        <f>Source!AN24</f>
        <v>356.95</v>
      </c>
      <c r="G37" s="26" t="str">
        <f>Source!DF24</f>
        <v/>
      </c>
      <c r="H37" s="27">
        <f>ROUND(Source!AE24*Source!I24, 2)</f>
        <v>8.92</v>
      </c>
      <c r="I37" s="26"/>
      <c r="J37" s="26">
        <f>IF(Source!BS24&lt;&gt; 0, Source!BS24, 1)</f>
        <v>32.51</v>
      </c>
      <c r="K37" s="27">
        <f>Source!R24</f>
        <v>290.11</v>
      </c>
      <c r="L37" s="28"/>
      <c r="R37">
        <f>H37</f>
        <v>8.92</v>
      </c>
    </row>
    <row r="38" spans="1:26" ht="14.25" x14ac:dyDescent="0.2">
      <c r="A38" s="23"/>
      <c r="B38" s="24"/>
      <c r="C38" s="22" t="s">
        <v>517</v>
      </c>
      <c r="D38" s="25" t="s">
        <v>518</v>
      </c>
      <c r="E38" s="10">
        <f>Source!BZ24</f>
        <v>92</v>
      </c>
      <c r="F38" s="30"/>
      <c r="G38" s="26"/>
      <c r="H38" s="27">
        <f>SUM(S33:S40)</f>
        <v>10.48</v>
      </c>
      <c r="I38" s="31"/>
      <c r="J38" s="22">
        <f>Source!AT24</f>
        <v>92</v>
      </c>
      <c r="K38" s="27">
        <f>SUM(T33:T40)</f>
        <v>340.88</v>
      </c>
      <c r="L38" s="28"/>
    </row>
    <row r="39" spans="1:26" ht="14.25" x14ac:dyDescent="0.2">
      <c r="A39" s="23"/>
      <c r="B39" s="24"/>
      <c r="C39" s="22" t="s">
        <v>519</v>
      </c>
      <c r="D39" s="25" t="s">
        <v>518</v>
      </c>
      <c r="E39" s="10">
        <f>Source!CA24</f>
        <v>46</v>
      </c>
      <c r="F39" s="30"/>
      <c r="G39" s="26"/>
      <c r="H39" s="27">
        <f>SUM(U33:U40)</f>
        <v>5.24</v>
      </c>
      <c r="I39" s="31"/>
      <c r="J39" s="22">
        <f>Source!AU24</f>
        <v>46</v>
      </c>
      <c r="K39" s="27">
        <f>SUM(V33:V40)</f>
        <v>170.44</v>
      </c>
      <c r="L39" s="28"/>
    </row>
    <row r="40" spans="1:26" ht="14.25" x14ac:dyDescent="0.2">
      <c r="A40" s="35"/>
      <c r="B40" s="36"/>
      <c r="C40" s="37" t="s">
        <v>520</v>
      </c>
      <c r="D40" s="38" t="s">
        <v>521</v>
      </c>
      <c r="E40" s="39">
        <f>Source!AQ24</f>
        <v>13.57</v>
      </c>
      <c r="F40" s="40"/>
      <c r="G40" s="41" t="str">
        <f>Source!DI24</f>
        <v/>
      </c>
      <c r="H40" s="40"/>
      <c r="I40" s="41"/>
      <c r="J40" s="41"/>
      <c r="K40" s="40"/>
      <c r="L40" s="42">
        <f>Source!U24</f>
        <v>0.33925000000000005</v>
      </c>
    </row>
    <row r="41" spans="1:26" ht="15" x14ac:dyDescent="0.25">
      <c r="G41" s="64">
        <f>ROUND(Source!AC24*Source!I24, 2)+ROUND(Source!AF24*Source!I24, 2)+ROUND((((Source!ET24)-(Source!EU24))+Source!AE24)*Source!I24, 2)+SUM(H38:H39)</f>
        <v>119.07</v>
      </c>
      <c r="H41" s="64"/>
      <c r="J41" s="64">
        <f>Source!O24+SUM(K38:K39)</f>
        <v>1926.4099999999999</v>
      </c>
      <c r="K41" s="64"/>
      <c r="L41" s="34">
        <f>Source!U24</f>
        <v>0.33925000000000005</v>
      </c>
      <c r="O41" s="33">
        <f>G41</f>
        <v>119.07</v>
      </c>
      <c r="P41" s="33">
        <f>J41</f>
        <v>1926.4099999999999</v>
      </c>
      <c r="Q41" s="33">
        <f>L41</f>
        <v>0.33925000000000005</v>
      </c>
      <c r="W41">
        <f>IF(Source!BI24&lt;=1,G41, 0)</f>
        <v>119.07</v>
      </c>
      <c r="X41">
        <f>IF(Source!BI24=2,G41, 0)</f>
        <v>0</v>
      </c>
      <c r="Y41">
        <f>IF(Source!BI24=3,G41, 0)</f>
        <v>0</v>
      </c>
      <c r="Z41">
        <f>IF(Source!BI24=4,G41, 0)</f>
        <v>0</v>
      </c>
    </row>
    <row r="42" spans="1:26" ht="57" x14ac:dyDescent="0.2">
      <c r="A42" s="23" t="str">
        <f>Source!E25</f>
        <v>2</v>
      </c>
      <c r="B42" s="24" t="str">
        <f>Source!F25</f>
        <v>01-01-033-2</v>
      </c>
      <c r="C42" s="22" t="str">
        <f>Source!G25</f>
        <v>Засыпка траншей и котлованов с перемещением грунта до 5 м бульдозерами мощностью 59 кВт (80 л.с.), группа грунтов 2</v>
      </c>
      <c r="D42" s="25" t="str">
        <f>Source!H25</f>
        <v>1000 м3 грунта</v>
      </c>
      <c r="E42" s="10">
        <f>Source!I25</f>
        <v>2.5000000000000001E-2</v>
      </c>
      <c r="F42" s="27">
        <f>IF(Source!AK25&lt;&gt; 0, Source!AK25,Source!AL25 + Source!AM25 + Source!AO25)</f>
        <v>909.09</v>
      </c>
      <c r="G42" s="26"/>
      <c r="H42" s="27"/>
      <c r="I42" s="26" t="str">
        <f>Source!BO25</f>
        <v>01-01-033-2</v>
      </c>
      <c r="J42" s="26"/>
      <c r="K42" s="27"/>
      <c r="L42" s="28"/>
      <c r="S42">
        <f>ROUND((Source!FX25/100)*((ROUND(Source!AF25*Source!I25, 2)+ROUND(Source!AE25*Source!I25, 2))), 2)</f>
        <v>2.12</v>
      </c>
      <c r="T42">
        <f>Source!X25</f>
        <v>68.64</v>
      </c>
      <c r="U42">
        <f>ROUND((Source!FY25/100)*((ROUND(Source!AF25*Source!I25, 2)+ROUND(Source!AE25*Source!I25, 2))), 2)</f>
        <v>1.06</v>
      </c>
      <c r="V42">
        <f>Source!Y25</f>
        <v>34.32</v>
      </c>
    </row>
    <row r="43" spans="1:26" x14ac:dyDescent="0.2">
      <c r="C43" s="29" t="str">
        <f>"Объем: "&amp;Source!I25&amp;"=25/"&amp;"1000"</f>
        <v>Объем: 0,025=25/1000</v>
      </c>
    </row>
    <row r="44" spans="1:26" ht="14.25" x14ac:dyDescent="0.2">
      <c r="A44" s="23"/>
      <c r="B44" s="24"/>
      <c r="C44" s="22" t="s">
        <v>203</v>
      </c>
      <c r="D44" s="25"/>
      <c r="E44" s="10"/>
      <c r="F44" s="27">
        <f>Source!AM25</f>
        <v>909.09</v>
      </c>
      <c r="G44" s="26" t="str">
        <f>Source!DE25</f>
        <v/>
      </c>
      <c r="H44" s="27">
        <f>ROUND((((Source!ET25)-(Source!EU25))+Source!AE25)*Source!I25, 2)</f>
        <v>22.73</v>
      </c>
      <c r="I44" s="26"/>
      <c r="J44" s="26">
        <f>IF(Source!BB25&lt;&gt; 0, Source!BB25, 1)</f>
        <v>14.44</v>
      </c>
      <c r="K44" s="27">
        <f>Source!Q25</f>
        <v>328.18</v>
      </c>
      <c r="L44" s="28"/>
    </row>
    <row r="45" spans="1:26" ht="14.25" x14ac:dyDescent="0.2">
      <c r="A45" s="23"/>
      <c r="B45" s="24"/>
      <c r="C45" s="22" t="s">
        <v>516</v>
      </c>
      <c r="D45" s="25"/>
      <c r="E45" s="10"/>
      <c r="F45" s="27">
        <f>Source!AN25</f>
        <v>91.8</v>
      </c>
      <c r="G45" s="26" t="str">
        <f>Source!DF25</f>
        <v/>
      </c>
      <c r="H45" s="27">
        <f>ROUND(Source!AE25*Source!I25, 2)</f>
        <v>2.2999999999999998</v>
      </c>
      <c r="I45" s="26"/>
      <c r="J45" s="26">
        <f>IF(Source!BS25&lt;&gt; 0, Source!BS25, 1)</f>
        <v>32.51</v>
      </c>
      <c r="K45" s="27">
        <f>Source!R25</f>
        <v>74.61</v>
      </c>
      <c r="L45" s="28"/>
      <c r="R45">
        <f>H45</f>
        <v>2.2999999999999998</v>
      </c>
    </row>
    <row r="46" spans="1:26" ht="14.25" x14ac:dyDescent="0.2">
      <c r="A46" s="23"/>
      <c r="B46" s="24"/>
      <c r="C46" s="22" t="s">
        <v>517</v>
      </c>
      <c r="D46" s="25" t="s">
        <v>518</v>
      </c>
      <c r="E46" s="10">
        <f>Source!BZ25</f>
        <v>92</v>
      </c>
      <c r="F46" s="30"/>
      <c r="G46" s="26"/>
      <c r="H46" s="27">
        <f>SUM(S42:S47)</f>
        <v>2.12</v>
      </c>
      <c r="I46" s="31"/>
      <c r="J46" s="22">
        <f>Source!AT25</f>
        <v>92</v>
      </c>
      <c r="K46" s="27">
        <f>SUM(T42:T47)</f>
        <v>68.64</v>
      </c>
      <c r="L46" s="28"/>
    </row>
    <row r="47" spans="1:26" ht="14.25" x14ac:dyDescent="0.2">
      <c r="A47" s="35"/>
      <c r="B47" s="36"/>
      <c r="C47" s="37" t="s">
        <v>519</v>
      </c>
      <c r="D47" s="38" t="s">
        <v>518</v>
      </c>
      <c r="E47" s="39">
        <f>Source!CA25</f>
        <v>46</v>
      </c>
      <c r="F47" s="43"/>
      <c r="G47" s="41"/>
      <c r="H47" s="40">
        <f>SUM(U42:U47)</f>
        <v>1.06</v>
      </c>
      <c r="I47" s="44"/>
      <c r="J47" s="37">
        <f>Source!AU25</f>
        <v>46</v>
      </c>
      <c r="K47" s="40">
        <f>SUM(V42:V47)</f>
        <v>34.32</v>
      </c>
      <c r="L47" s="45"/>
    </row>
    <row r="48" spans="1:26" ht="15" x14ac:dyDescent="0.25">
      <c r="G48" s="64">
        <f>ROUND(Source!AC25*Source!I25, 2)+ROUND(Source!AF25*Source!I25, 2)+ROUND((((Source!ET25)-(Source!EU25))+Source!AE25)*Source!I25, 2)+SUM(H46:H47)</f>
        <v>25.91</v>
      </c>
      <c r="H48" s="64"/>
      <c r="J48" s="64">
        <f>Source!O25+SUM(K46:K47)</f>
        <v>431.14</v>
      </c>
      <c r="K48" s="64"/>
      <c r="L48" s="34">
        <f>Source!U25</f>
        <v>0</v>
      </c>
      <c r="O48" s="33">
        <f>G48</f>
        <v>25.91</v>
      </c>
      <c r="P48" s="33">
        <f>J48</f>
        <v>431.14</v>
      </c>
      <c r="Q48" s="33">
        <f>L48</f>
        <v>0</v>
      </c>
      <c r="W48">
        <f>IF(Source!BI25&lt;=1,G48, 0)</f>
        <v>25.91</v>
      </c>
      <c r="X48">
        <f>IF(Source!BI25=2,G48, 0)</f>
        <v>0</v>
      </c>
      <c r="Y48">
        <f>IF(Source!BI25=3,G48, 0)</f>
        <v>0</v>
      </c>
      <c r="Z48">
        <f>IF(Source!BI25=4,G48, 0)</f>
        <v>0</v>
      </c>
    </row>
    <row r="49" spans="1:26" ht="42.75" x14ac:dyDescent="0.2">
      <c r="A49" s="23" t="str">
        <f>Source!E26</f>
        <v>3</v>
      </c>
      <c r="B49" s="24" t="str">
        <f>Source!F26</f>
        <v>01-02-057-2</v>
      </c>
      <c r="C49" s="22" t="str">
        <f>Source!G26</f>
        <v>Разработка грунта вручную в траншеях глубиной до 2 м без креплений с откосами, группа грунтов 2</v>
      </c>
      <c r="D49" s="25" t="str">
        <f>Source!H26</f>
        <v>100 м3 грунта</v>
      </c>
      <c r="E49" s="10">
        <f>Source!I26</f>
        <v>0.06</v>
      </c>
      <c r="F49" s="27">
        <f>IF(Source!AK26&lt;&gt; 0, Source!AK26,Source!AL26 + Source!AM26 + Source!AO26)</f>
        <v>1122.6600000000001</v>
      </c>
      <c r="G49" s="26"/>
      <c r="H49" s="27"/>
      <c r="I49" s="26" t="str">
        <f>Source!BO26</f>
        <v>01-02-057-2</v>
      </c>
      <c r="J49" s="26"/>
      <c r="K49" s="27"/>
      <c r="L49" s="28"/>
      <c r="S49">
        <f>ROUND((Source!FX26/100)*((ROUND(Source!AF26*Source!I26, 2)+ROUND(Source!AE26*Source!I26, 2))), 2)</f>
        <v>59.95</v>
      </c>
      <c r="T49">
        <f>Source!X26</f>
        <v>1948.98</v>
      </c>
      <c r="U49">
        <f>ROUND((Source!FY26/100)*((ROUND(Source!AF26*Source!I26, 2)+ROUND(Source!AE26*Source!I26, 2))), 2)</f>
        <v>26.94</v>
      </c>
      <c r="V49">
        <f>Source!Y26</f>
        <v>875.94</v>
      </c>
    </row>
    <row r="50" spans="1:26" x14ac:dyDescent="0.2">
      <c r="C50" s="29" t="str">
        <f>"Объем: "&amp;Source!I26&amp;"=6/"&amp;"100"</f>
        <v>Объем: 0,06=6/100</v>
      </c>
    </row>
    <row r="51" spans="1:26" ht="14.25" x14ac:dyDescent="0.2">
      <c r="A51" s="23"/>
      <c r="B51" s="24"/>
      <c r="C51" s="22" t="s">
        <v>515</v>
      </c>
      <c r="D51" s="25"/>
      <c r="E51" s="10"/>
      <c r="F51" s="27">
        <f>Source!AO26</f>
        <v>1122.6600000000001</v>
      </c>
      <c r="G51" s="26" t="str">
        <f>Source!DG26</f>
        <v/>
      </c>
      <c r="H51" s="27">
        <f>ROUND(Source!AF26*Source!I26, 2)</f>
        <v>67.36</v>
      </c>
      <c r="I51" s="26"/>
      <c r="J51" s="26">
        <f>IF(Source!BA26&lt;&gt; 0, Source!BA26, 1)</f>
        <v>32.51</v>
      </c>
      <c r="K51" s="27">
        <f>Source!S26</f>
        <v>2189.86</v>
      </c>
      <c r="L51" s="28"/>
      <c r="R51">
        <f>H51</f>
        <v>67.36</v>
      </c>
    </row>
    <row r="52" spans="1:26" ht="14.25" x14ac:dyDescent="0.2">
      <c r="A52" s="23"/>
      <c r="B52" s="24"/>
      <c r="C52" s="22" t="s">
        <v>517</v>
      </c>
      <c r="D52" s="25" t="s">
        <v>518</v>
      </c>
      <c r="E52" s="10">
        <f>Source!BZ26</f>
        <v>89</v>
      </c>
      <c r="F52" s="30"/>
      <c r="G52" s="26"/>
      <c r="H52" s="27">
        <f>SUM(S49:S54)</f>
        <v>59.95</v>
      </c>
      <c r="I52" s="31"/>
      <c r="J52" s="22">
        <f>Source!AT26</f>
        <v>89</v>
      </c>
      <c r="K52" s="27">
        <f>SUM(T49:T54)</f>
        <v>1948.98</v>
      </c>
      <c r="L52" s="28"/>
    </row>
    <row r="53" spans="1:26" ht="14.25" x14ac:dyDescent="0.2">
      <c r="A53" s="23"/>
      <c r="B53" s="24"/>
      <c r="C53" s="22" t="s">
        <v>519</v>
      </c>
      <c r="D53" s="25" t="s">
        <v>518</v>
      </c>
      <c r="E53" s="10">
        <f>Source!CA26</f>
        <v>40</v>
      </c>
      <c r="F53" s="30"/>
      <c r="G53" s="26"/>
      <c r="H53" s="27">
        <f>SUM(U49:U54)</f>
        <v>26.94</v>
      </c>
      <c r="I53" s="31"/>
      <c r="J53" s="22">
        <f>Source!AU26</f>
        <v>40</v>
      </c>
      <c r="K53" s="27">
        <f>SUM(V49:V54)</f>
        <v>875.94</v>
      </c>
      <c r="L53" s="28"/>
    </row>
    <row r="54" spans="1:26" ht="14.25" x14ac:dyDescent="0.2">
      <c r="A54" s="35"/>
      <c r="B54" s="36"/>
      <c r="C54" s="37" t="s">
        <v>520</v>
      </c>
      <c r="D54" s="38" t="s">
        <v>521</v>
      </c>
      <c r="E54" s="39">
        <f>Source!AQ26</f>
        <v>154</v>
      </c>
      <c r="F54" s="40"/>
      <c r="G54" s="41" t="str">
        <f>Source!DI26</f>
        <v/>
      </c>
      <c r="H54" s="40"/>
      <c r="I54" s="41"/>
      <c r="J54" s="41"/>
      <c r="K54" s="40"/>
      <c r="L54" s="42">
        <f>Source!U26</f>
        <v>9.24</v>
      </c>
    </row>
    <row r="55" spans="1:26" ht="15" x14ac:dyDescent="0.25">
      <c r="G55" s="64">
        <f>ROUND(Source!AC26*Source!I26, 2)+ROUND(Source!AF26*Source!I26, 2)+ROUND((((Source!ET26)-(Source!EU26))+Source!AE26)*Source!I26, 2)+SUM(H52:H53)</f>
        <v>154.25</v>
      </c>
      <c r="H55" s="64"/>
      <c r="J55" s="64">
        <f>Source!O26+SUM(K52:K53)</f>
        <v>5014.7800000000007</v>
      </c>
      <c r="K55" s="64"/>
      <c r="L55" s="34">
        <f>Source!U26</f>
        <v>9.24</v>
      </c>
      <c r="O55" s="33">
        <f>G55</f>
        <v>154.25</v>
      </c>
      <c r="P55" s="33">
        <f>J55</f>
        <v>5014.7800000000007</v>
      </c>
      <c r="Q55" s="33">
        <f>L55</f>
        <v>9.24</v>
      </c>
      <c r="W55">
        <f>IF(Source!BI26&lt;=1,G55, 0)</f>
        <v>154.25</v>
      </c>
      <c r="X55">
        <f>IF(Source!BI26=2,G55, 0)</f>
        <v>0</v>
      </c>
      <c r="Y55">
        <f>IF(Source!BI26=3,G55, 0)</f>
        <v>0</v>
      </c>
      <c r="Z55">
        <f>IF(Source!BI26=4,G55, 0)</f>
        <v>0</v>
      </c>
    </row>
    <row r="56" spans="1:26" ht="28.5" x14ac:dyDescent="0.2">
      <c r="A56" s="23" t="str">
        <f>Source!E27</f>
        <v>4</v>
      </c>
      <c r="B56" s="24" t="str">
        <f>Source!F27</f>
        <v>01-02-061-2</v>
      </c>
      <c r="C56" s="22" t="str">
        <f>Source!G27</f>
        <v>Засыпка вручную траншей, пазух котлованов и ям, группа грунтов 2</v>
      </c>
      <c r="D56" s="25" t="str">
        <f>Source!H27</f>
        <v>100 м3 грунта</v>
      </c>
      <c r="E56" s="10">
        <f>Source!I27</f>
        <v>0.06</v>
      </c>
      <c r="F56" s="27">
        <f>IF(Source!AK27&lt;&gt; 0, Source!AK27,Source!AL27 + Source!AM27 + Source!AO27)</f>
        <v>681.37</v>
      </c>
      <c r="G56" s="26"/>
      <c r="H56" s="27"/>
      <c r="I56" s="26" t="str">
        <f>Source!BO27</f>
        <v>01-02-061-2</v>
      </c>
      <c r="J56" s="26"/>
      <c r="K56" s="27"/>
      <c r="L56" s="28"/>
      <c r="S56">
        <f>ROUND((Source!FX27/100)*((ROUND(Source!AF27*Source!I27, 2)+ROUND(Source!AE27*Source!I27, 2))), 2)</f>
        <v>36.380000000000003</v>
      </c>
      <c r="T56">
        <f>Source!X27</f>
        <v>1182.8800000000001</v>
      </c>
      <c r="U56">
        <f>ROUND((Source!FY27/100)*((ROUND(Source!AF27*Source!I27, 2)+ROUND(Source!AE27*Source!I27, 2))), 2)</f>
        <v>16.350000000000001</v>
      </c>
      <c r="V56">
        <f>Source!Y27</f>
        <v>531.63</v>
      </c>
    </row>
    <row r="57" spans="1:26" x14ac:dyDescent="0.2">
      <c r="C57" s="29" t="str">
        <f>"Объем: "&amp;Source!I27&amp;"=6/"&amp;"100"</f>
        <v>Объем: 0,06=6/100</v>
      </c>
    </row>
    <row r="58" spans="1:26" ht="14.25" x14ac:dyDescent="0.2">
      <c r="A58" s="23"/>
      <c r="B58" s="24"/>
      <c r="C58" s="22" t="s">
        <v>515</v>
      </c>
      <c r="D58" s="25"/>
      <c r="E58" s="10"/>
      <c r="F58" s="27">
        <f>Source!AO27</f>
        <v>681.37</v>
      </c>
      <c r="G58" s="26" t="str">
        <f>Source!DG27</f>
        <v/>
      </c>
      <c r="H58" s="27">
        <f>ROUND(Source!AF27*Source!I27, 2)</f>
        <v>40.880000000000003</v>
      </c>
      <c r="I58" s="26"/>
      <c r="J58" s="26">
        <f>IF(Source!BA27&lt;&gt; 0, Source!BA27, 1)</f>
        <v>32.51</v>
      </c>
      <c r="K58" s="27">
        <f>Source!S27</f>
        <v>1329.08</v>
      </c>
      <c r="L58" s="28"/>
      <c r="R58">
        <f>H58</f>
        <v>40.880000000000003</v>
      </c>
    </row>
    <row r="59" spans="1:26" ht="14.25" x14ac:dyDescent="0.2">
      <c r="A59" s="23"/>
      <c r="B59" s="24"/>
      <c r="C59" s="22" t="s">
        <v>517</v>
      </c>
      <c r="D59" s="25" t="s">
        <v>518</v>
      </c>
      <c r="E59" s="10">
        <f>Source!BZ27</f>
        <v>89</v>
      </c>
      <c r="F59" s="30"/>
      <c r="G59" s="26"/>
      <c r="H59" s="27">
        <f>SUM(S56:S61)</f>
        <v>36.380000000000003</v>
      </c>
      <c r="I59" s="31"/>
      <c r="J59" s="22">
        <f>Source!AT27</f>
        <v>89</v>
      </c>
      <c r="K59" s="27">
        <f>SUM(T56:T61)</f>
        <v>1182.8800000000001</v>
      </c>
      <c r="L59" s="28"/>
    </row>
    <row r="60" spans="1:26" ht="14.25" x14ac:dyDescent="0.2">
      <c r="A60" s="23"/>
      <c r="B60" s="24"/>
      <c r="C60" s="22" t="s">
        <v>519</v>
      </c>
      <c r="D60" s="25" t="s">
        <v>518</v>
      </c>
      <c r="E60" s="10">
        <f>Source!CA27</f>
        <v>40</v>
      </c>
      <c r="F60" s="30"/>
      <c r="G60" s="26"/>
      <c r="H60" s="27">
        <f>SUM(U56:U61)</f>
        <v>16.350000000000001</v>
      </c>
      <c r="I60" s="31"/>
      <c r="J60" s="22">
        <f>Source!AU27</f>
        <v>40</v>
      </c>
      <c r="K60" s="27">
        <f>SUM(V56:V61)</f>
        <v>531.63</v>
      </c>
      <c r="L60" s="28"/>
    </row>
    <row r="61" spans="1:26" ht="14.25" x14ac:dyDescent="0.2">
      <c r="A61" s="35"/>
      <c r="B61" s="36"/>
      <c r="C61" s="37" t="s">
        <v>520</v>
      </c>
      <c r="D61" s="38" t="s">
        <v>521</v>
      </c>
      <c r="E61" s="39">
        <f>Source!AQ27</f>
        <v>97.2</v>
      </c>
      <c r="F61" s="40"/>
      <c r="G61" s="41" t="str">
        <f>Source!DI27</f>
        <v/>
      </c>
      <c r="H61" s="40"/>
      <c r="I61" s="41"/>
      <c r="J61" s="41"/>
      <c r="K61" s="40"/>
      <c r="L61" s="42">
        <f>Source!U27</f>
        <v>5.8319999999999999</v>
      </c>
    </row>
    <row r="62" spans="1:26" ht="15" x14ac:dyDescent="0.25">
      <c r="G62" s="64">
        <f>ROUND(Source!AC27*Source!I27, 2)+ROUND(Source!AF27*Source!I27, 2)+ROUND((((Source!ET27)-(Source!EU27))+Source!AE27)*Source!I27, 2)+SUM(H59:H60)</f>
        <v>93.610000000000014</v>
      </c>
      <c r="H62" s="64"/>
      <c r="J62" s="64">
        <f>Source!O27+SUM(K59:K60)</f>
        <v>3043.59</v>
      </c>
      <c r="K62" s="64"/>
      <c r="L62" s="34">
        <f>Source!U27</f>
        <v>5.8319999999999999</v>
      </c>
      <c r="O62" s="33">
        <f>G62</f>
        <v>93.610000000000014</v>
      </c>
      <c r="P62" s="33">
        <f>J62</f>
        <v>3043.59</v>
      </c>
      <c r="Q62" s="33">
        <f>L62</f>
        <v>5.8319999999999999</v>
      </c>
      <c r="W62">
        <f>IF(Source!BI27&lt;=1,G62, 0)</f>
        <v>93.610000000000014</v>
      </c>
      <c r="X62">
        <f>IF(Source!BI27=2,G62, 0)</f>
        <v>0</v>
      </c>
      <c r="Y62">
        <f>IF(Source!BI27=3,G62, 0)</f>
        <v>0</v>
      </c>
      <c r="Z62">
        <f>IF(Source!BI27=4,G62, 0)</f>
        <v>0</v>
      </c>
    </row>
    <row r="63" spans="1:26" ht="71.25" x14ac:dyDescent="0.2">
      <c r="A63" s="23" t="str">
        <f>Source!E28</f>
        <v>5</v>
      </c>
      <c r="B63" s="24" t="str">
        <f>Source!F28</f>
        <v>34-02-003-1</v>
      </c>
      <c r="C63" s="22" t="str">
        <f>Source!G28</f>
        <v>Устройство трубопроводов из полиэтиленовых труб до 2 отверстий</v>
      </c>
      <c r="D63" s="25" t="str">
        <f>Source!H28</f>
        <v>1 канало-километр трубопровода</v>
      </c>
      <c r="E63" s="10">
        <f>Source!I28</f>
        <v>1.4E-2</v>
      </c>
      <c r="F63" s="27">
        <f>IF(Source!AK28&lt;&gt; 0, Source!AK28,Source!AL28 + Source!AM28 + Source!AO28)</f>
        <v>33416.46</v>
      </c>
      <c r="G63" s="26"/>
      <c r="H63" s="27"/>
      <c r="I63" s="26" t="str">
        <f>Source!BO28</f>
        <v>34-02-003-1</v>
      </c>
      <c r="J63" s="26"/>
      <c r="K63" s="27"/>
      <c r="L63" s="28"/>
      <c r="S63">
        <f>ROUND((Source!FX28/100)*((ROUND(Source!AF28*Source!I28, 2)+ROUND(Source!AE28*Source!I28, 2))), 2)</f>
        <v>14.42</v>
      </c>
      <c r="T63">
        <f>Source!X28</f>
        <v>468.66</v>
      </c>
      <c r="U63">
        <f>ROUND((Source!FY28/100)*((ROUND(Source!AF28*Source!I28, 2)+ROUND(Source!AE28*Source!I28, 2))), 2)</f>
        <v>8.5299999999999994</v>
      </c>
      <c r="V63">
        <f>Source!Y28</f>
        <v>277.37</v>
      </c>
    </row>
    <row r="64" spans="1:26" ht="14.25" x14ac:dyDescent="0.2">
      <c r="A64" s="23"/>
      <c r="B64" s="24"/>
      <c r="C64" s="22" t="s">
        <v>515</v>
      </c>
      <c r="D64" s="25"/>
      <c r="E64" s="10"/>
      <c r="F64" s="27">
        <f>Source!AO28</f>
        <v>1050.7</v>
      </c>
      <c r="G64" s="26" t="str">
        <f>Source!DG28</f>
        <v/>
      </c>
      <c r="H64" s="27">
        <f>ROUND(Source!AF28*Source!I28, 2)</f>
        <v>14.71</v>
      </c>
      <c r="I64" s="26"/>
      <c r="J64" s="26">
        <f>IF(Source!BA28&lt;&gt; 0, Source!BA28, 1)</f>
        <v>32.51</v>
      </c>
      <c r="K64" s="27">
        <f>Source!S28</f>
        <v>478.22</v>
      </c>
      <c r="L64" s="28"/>
      <c r="R64">
        <f>H64</f>
        <v>14.71</v>
      </c>
    </row>
    <row r="65" spans="1:26" ht="14.25" x14ac:dyDescent="0.2">
      <c r="A65" s="23"/>
      <c r="B65" s="24"/>
      <c r="C65" s="22" t="s">
        <v>517</v>
      </c>
      <c r="D65" s="25" t="s">
        <v>518</v>
      </c>
      <c r="E65" s="10">
        <f>Source!BZ28</f>
        <v>98</v>
      </c>
      <c r="F65" s="30"/>
      <c r="G65" s="26"/>
      <c r="H65" s="27">
        <f>SUM(S63:S67)</f>
        <v>14.42</v>
      </c>
      <c r="I65" s="31"/>
      <c r="J65" s="22">
        <f>Source!AT28</f>
        <v>98</v>
      </c>
      <c r="K65" s="27">
        <f>SUM(T63:T67)</f>
        <v>468.66</v>
      </c>
      <c r="L65" s="28"/>
    </row>
    <row r="66" spans="1:26" ht="14.25" x14ac:dyDescent="0.2">
      <c r="A66" s="23"/>
      <c r="B66" s="24"/>
      <c r="C66" s="22" t="s">
        <v>519</v>
      </c>
      <c r="D66" s="25" t="s">
        <v>518</v>
      </c>
      <c r="E66" s="10">
        <f>Source!CA28</f>
        <v>58</v>
      </c>
      <c r="F66" s="30"/>
      <c r="G66" s="26"/>
      <c r="H66" s="27">
        <f>SUM(U63:U67)</f>
        <v>8.5299999999999994</v>
      </c>
      <c r="I66" s="31"/>
      <c r="J66" s="22">
        <f>Source!AU28</f>
        <v>58</v>
      </c>
      <c r="K66" s="27">
        <f>SUM(V63:V67)</f>
        <v>277.37</v>
      </c>
      <c r="L66" s="28"/>
    </row>
    <row r="67" spans="1:26" ht="14.25" x14ac:dyDescent="0.2">
      <c r="A67" s="35"/>
      <c r="B67" s="36"/>
      <c r="C67" s="37" t="s">
        <v>520</v>
      </c>
      <c r="D67" s="38" t="s">
        <v>521</v>
      </c>
      <c r="E67" s="39">
        <f>Source!AQ28</f>
        <v>133</v>
      </c>
      <c r="F67" s="40"/>
      <c r="G67" s="41" t="str">
        <f>Source!DI28</f>
        <v/>
      </c>
      <c r="H67" s="40"/>
      <c r="I67" s="41"/>
      <c r="J67" s="41"/>
      <c r="K67" s="40"/>
      <c r="L67" s="42">
        <f>Source!U28</f>
        <v>1.8620000000000001</v>
      </c>
    </row>
    <row r="68" spans="1:26" ht="15" x14ac:dyDescent="0.25">
      <c r="G68" s="64">
        <f>ROUND(Source!AC28*Source!I28, 2)+ROUND(Source!AF28*Source!I28, 2)+ROUND((((Source!ET28)-(Source!EU28))+Source!AE28)*Source!I28, 2)+SUM(H65:H66)</f>
        <v>37.659999999999997</v>
      </c>
      <c r="H68" s="64"/>
      <c r="J68" s="64">
        <f>Source!O28+SUM(K65:K66)</f>
        <v>1224.25</v>
      </c>
      <c r="K68" s="64"/>
      <c r="L68" s="34">
        <f>Source!U28</f>
        <v>1.8620000000000001</v>
      </c>
      <c r="O68" s="33">
        <f>G68</f>
        <v>37.659999999999997</v>
      </c>
      <c r="P68" s="33">
        <f>J68</f>
        <v>1224.25</v>
      </c>
      <c r="Q68" s="33">
        <f>L68</f>
        <v>1.8620000000000001</v>
      </c>
      <c r="W68">
        <f>IF(Source!BI28&lt;=1,G68, 0)</f>
        <v>37.659999999999997</v>
      </c>
      <c r="X68">
        <f>IF(Source!BI28=2,G68, 0)</f>
        <v>0</v>
      </c>
      <c r="Y68">
        <f>IF(Source!BI28=3,G68, 0)</f>
        <v>0</v>
      </c>
      <c r="Z68">
        <f>IF(Source!BI28=4,G68, 0)</f>
        <v>0</v>
      </c>
    </row>
    <row r="69" spans="1:26" ht="42.75" x14ac:dyDescent="0.2">
      <c r="A69" s="23" t="str">
        <f>Source!E29</f>
        <v>6</v>
      </c>
      <c r="B69" s="24" t="str">
        <f>Source!F29</f>
        <v>м08-02-155-1</v>
      </c>
      <c r="C69" s="22" t="str">
        <f>Source!G29</f>
        <v>Герметизация проходов при вводе кабелей во взрывоопасные помещения уплотнительной массой</v>
      </c>
      <c r="D69" s="25" t="str">
        <f>Source!H29</f>
        <v>1 проход кабеля</v>
      </c>
      <c r="E69" s="10">
        <f>Source!I29</f>
        <v>24</v>
      </c>
      <c r="F69" s="27">
        <f>IF(Source!AK29&lt;&gt; 0, Source!AK29,Source!AL29 + Source!AM29 + Source!AO29)</f>
        <v>18.68</v>
      </c>
      <c r="G69" s="26"/>
      <c r="H69" s="27"/>
      <c r="I69" s="26" t="str">
        <f>Source!BO29</f>
        <v>м08-02-155-1</v>
      </c>
      <c r="J69" s="26"/>
      <c r="K69" s="27"/>
      <c r="L69" s="28"/>
      <c r="S69">
        <f>ROUND((Source!FX29/100)*((ROUND(Source!AF29*Source!I29, 2)+ROUND(Source!AE29*Source!I29, 2))), 2)</f>
        <v>79.62</v>
      </c>
      <c r="T69">
        <f>Source!X29</f>
        <v>2588.37</v>
      </c>
      <c r="U69">
        <f>ROUND((Source!FY29/100)*((ROUND(Source!AF29*Source!I29, 2)+ROUND(Source!AE29*Source!I29, 2))), 2)</f>
        <v>41.86</v>
      </c>
      <c r="V69">
        <f>Source!Y29</f>
        <v>1360.89</v>
      </c>
    </row>
    <row r="70" spans="1:26" ht="14.25" x14ac:dyDescent="0.2">
      <c r="A70" s="23"/>
      <c r="B70" s="24"/>
      <c r="C70" s="22" t="s">
        <v>515</v>
      </c>
      <c r="D70" s="25"/>
      <c r="E70" s="10"/>
      <c r="F70" s="27">
        <f>Source!AO29</f>
        <v>3.42</v>
      </c>
      <c r="G70" s="26" t="str">
        <f>Source!DG29</f>
        <v/>
      </c>
      <c r="H70" s="27">
        <f>ROUND(Source!AF29*Source!I29, 2)</f>
        <v>82.08</v>
      </c>
      <c r="I70" s="26"/>
      <c r="J70" s="26">
        <f>IF(Source!BA29&lt;&gt; 0, Source!BA29, 1)</f>
        <v>32.51</v>
      </c>
      <c r="K70" s="27">
        <f>Source!S29</f>
        <v>2668.42</v>
      </c>
      <c r="L70" s="28"/>
      <c r="R70">
        <f>H70</f>
        <v>82.08</v>
      </c>
    </row>
    <row r="71" spans="1:26" ht="14.25" x14ac:dyDescent="0.2">
      <c r="A71" s="23"/>
      <c r="B71" s="24"/>
      <c r="C71" s="22" t="s">
        <v>517</v>
      </c>
      <c r="D71" s="25" t="s">
        <v>518</v>
      </c>
      <c r="E71" s="10">
        <f>Source!BZ29</f>
        <v>97</v>
      </c>
      <c r="F71" s="30"/>
      <c r="G71" s="26"/>
      <c r="H71" s="27">
        <f>SUM(S69:S73)</f>
        <v>79.62</v>
      </c>
      <c r="I71" s="31"/>
      <c r="J71" s="22">
        <f>Source!AT29</f>
        <v>97</v>
      </c>
      <c r="K71" s="27">
        <f>SUM(T69:T73)</f>
        <v>2588.37</v>
      </c>
      <c r="L71" s="28"/>
    </row>
    <row r="72" spans="1:26" ht="14.25" x14ac:dyDescent="0.2">
      <c r="A72" s="23"/>
      <c r="B72" s="24"/>
      <c r="C72" s="22" t="s">
        <v>519</v>
      </c>
      <c r="D72" s="25" t="s">
        <v>518</v>
      </c>
      <c r="E72" s="10">
        <f>Source!CA29</f>
        <v>51</v>
      </c>
      <c r="F72" s="30"/>
      <c r="G72" s="26"/>
      <c r="H72" s="27">
        <f>SUM(U69:U73)</f>
        <v>41.86</v>
      </c>
      <c r="I72" s="31"/>
      <c r="J72" s="22">
        <f>Source!AU29</f>
        <v>51</v>
      </c>
      <c r="K72" s="27">
        <f>SUM(V69:V73)</f>
        <v>1360.89</v>
      </c>
      <c r="L72" s="28"/>
    </row>
    <row r="73" spans="1:26" ht="14.25" x14ac:dyDescent="0.2">
      <c r="A73" s="35"/>
      <c r="B73" s="36"/>
      <c r="C73" s="37" t="s">
        <v>520</v>
      </c>
      <c r="D73" s="38" t="s">
        <v>521</v>
      </c>
      <c r="E73" s="39">
        <f>Source!AQ29</f>
        <v>0.38</v>
      </c>
      <c r="F73" s="40"/>
      <c r="G73" s="41" t="str">
        <f>Source!DI29</f>
        <v/>
      </c>
      <c r="H73" s="40"/>
      <c r="I73" s="41"/>
      <c r="J73" s="41"/>
      <c r="K73" s="40"/>
      <c r="L73" s="42">
        <f>Source!U29</f>
        <v>9.120000000000001</v>
      </c>
    </row>
    <row r="74" spans="1:26" ht="15" x14ac:dyDescent="0.25">
      <c r="G74" s="64">
        <f>ROUND(Source!AC29*Source!I29, 2)+ROUND(Source!AF29*Source!I29, 2)+ROUND((((Source!ET29)-(Source!EU29))+Source!AE29)*Source!I29, 2)+SUM(H71:H72)</f>
        <v>203.56</v>
      </c>
      <c r="H74" s="64"/>
      <c r="J74" s="64">
        <f>Source!O29+SUM(K71:K72)</f>
        <v>6617.68</v>
      </c>
      <c r="K74" s="64"/>
      <c r="L74" s="34">
        <f>Source!U29</f>
        <v>9.120000000000001</v>
      </c>
      <c r="O74" s="33">
        <f>G74</f>
        <v>203.56</v>
      </c>
      <c r="P74" s="33">
        <f>J74</f>
        <v>6617.68</v>
      </c>
      <c r="Q74" s="33">
        <f>L74</f>
        <v>9.120000000000001</v>
      </c>
      <c r="W74">
        <f>IF(Source!BI29&lt;=1,G74, 0)</f>
        <v>0</v>
      </c>
      <c r="X74">
        <f>IF(Source!BI29=2,G74, 0)</f>
        <v>203.56</v>
      </c>
      <c r="Y74">
        <f>IF(Source!BI29=3,G74, 0)</f>
        <v>0</v>
      </c>
      <c r="Z74">
        <f>IF(Source!BI29=4,G74, 0)</f>
        <v>0</v>
      </c>
    </row>
    <row r="75" spans="1:26" ht="42.75" x14ac:dyDescent="0.2">
      <c r="A75" s="23" t="str">
        <f>Source!E30</f>
        <v>7</v>
      </c>
      <c r="B75" s="24" t="str">
        <f>Source!F30</f>
        <v>м08-02-148-4</v>
      </c>
      <c r="C75" s="22" t="str">
        <f>Source!G30</f>
        <v>Кабель до 35 кВ в проложенных трубах, блоках и коробах, масса 1 м кабеля до 6 кг</v>
      </c>
      <c r="D75" s="25" t="str">
        <f>Source!H30</f>
        <v>100 М КАБЕЛЯ</v>
      </c>
      <c r="E75" s="10">
        <f>Source!I30</f>
        <v>0.98</v>
      </c>
      <c r="F75" s="27">
        <f>IF(Source!AK30&lt;&gt; 0, Source!AK30,Source!AL30 + Source!AM30 + Source!AO30)</f>
        <v>339.16</v>
      </c>
      <c r="G75" s="26"/>
      <c r="H75" s="27"/>
      <c r="I75" s="26" t="str">
        <f>Source!BO30</f>
        <v>м08-02-148-4</v>
      </c>
      <c r="J75" s="26"/>
      <c r="K75" s="27"/>
      <c r="L75" s="28"/>
      <c r="S75">
        <f>ROUND((Source!FX30/100)*((ROUND(Source!AF30*Source!I30, 2)+ROUND(Source!AE30*Source!I30, 2))), 2)</f>
        <v>199.2</v>
      </c>
      <c r="T75">
        <f>Source!X30</f>
        <v>6475.93</v>
      </c>
      <c r="U75">
        <f>ROUND((Source!FY30/100)*((ROUND(Source!AF30*Source!I30, 2)+ROUND(Source!AE30*Source!I30, 2))), 2)</f>
        <v>104.73</v>
      </c>
      <c r="V75">
        <f>Source!Y30</f>
        <v>3404.87</v>
      </c>
    </row>
    <row r="76" spans="1:26" x14ac:dyDescent="0.2">
      <c r="C76" s="29" t="str">
        <f>"Объем: "&amp;Source!I30&amp;"=98/"&amp;"100"</f>
        <v>Объем: 0,98=98/100</v>
      </c>
    </row>
    <row r="77" spans="1:26" ht="14.25" x14ac:dyDescent="0.2">
      <c r="A77" s="23"/>
      <c r="B77" s="24"/>
      <c r="C77" s="22" t="s">
        <v>515</v>
      </c>
      <c r="D77" s="25"/>
      <c r="E77" s="10"/>
      <c r="F77" s="27">
        <f>Source!AO30</f>
        <v>207.13</v>
      </c>
      <c r="G77" s="26" t="str">
        <f>Source!DG30</f>
        <v/>
      </c>
      <c r="H77" s="27">
        <f>ROUND(Source!AF30*Source!I30, 2)</f>
        <v>202.99</v>
      </c>
      <c r="I77" s="26"/>
      <c r="J77" s="26">
        <f>IF(Source!BA30&lt;&gt; 0, Source!BA30, 1)</f>
        <v>32.51</v>
      </c>
      <c r="K77" s="27">
        <f>Source!S30</f>
        <v>6599.12</v>
      </c>
      <c r="L77" s="28"/>
      <c r="R77">
        <f>H77</f>
        <v>202.99</v>
      </c>
    </row>
    <row r="78" spans="1:26" ht="14.25" x14ac:dyDescent="0.2">
      <c r="A78" s="23"/>
      <c r="B78" s="24"/>
      <c r="C78" s="22" t="s">
        <v>203</v>
      </c>
      <c r="D78" s="25"/>
      <c r="E78" s="10"/>
      <c r="F78" s="27">
        <f>Source!AM30</f>
        <v>90.42</v>
      </c>
      <c r="G78" s="26" t="str">
        <f>Source!DE30</f>
        <v/>
      </c>
      <c r="H78" s="27">
        <f>ROUND((((Source!ET30)-(Source!EU30))+Source!AE30)*Source!I30, 2)</f>
        <v>88.61</v>
      </c>
      <c r="I78" s="26"/>
      <c r="J78" s="26">
        <f>IF(Source!BB30&lt;&gt; 0, Source!BB30, 1)</f>
        <v>8.59</v>
      </c>
      <c r="K78" s="27">
        <f>Source!Q30</f>
        <v>761.17</v>
      </c>
      <c r="L78" s="28"/>
    </row>
    <row r="79" spans="1:26" ht="14.25" x14ac:dyDescent="0.2">
      <c r="A79" s="23"/>
      <c r="B79" s="24"/>
      <c r="C79" s="22" t="s">
        <v>516</v>
      </c>
      <c r="D79" s="25"/>
      <c r="E79" s="10"/>
      <c r="F79" s="27">
        <f>Source!AN30</f>
        <v>2.42</v>
      </c>
      <c r="G79" s="26" t="str">
        <f>Source!DF30</f>
        <v/>
      </c>
      <c r="H79" s="27">
        <f>ROUND(Source!AE30*Source!I30, 2)</f>
        <v>2.37</v>
      </c>
      <c r="I79" s="26"/>
      <c r="J79" s="26">
        <f>IF(Source!BS30&lt;&gt; 0, Source!BS30, 1)</f>
        <v>32.51</v>
      </c>
      <c r="K79" s="27">
        <f>Source!R30</f>
        <v>77.099999999999994</v>
      </c>
      <c r="L79" s="28"/>
      <c r="R79">
        <f>H79</f>
        <v>2.37</v>
      </c>
    </row>
    <row r="80" spans="1:26" ht="14.25" x14ac:dyDescent="0.2">
      <c r="A80" s="23"/>
      <c r="B80" s="24"/>
      <c r="C80" s="22" t="s">
        <v>517</v>
      </c>
      <c r="D80" s="25" t="s">
        <v>518</v>
      </c>
      <c r="E80" s="10">
        <f>Source!BZ30</f>
        <v>97</v>
      </c>
      <c r="F80" s="30"/>
      <c r="G80" s="26"/>
      <c r="H80" s="27">
        <f>SUM(S75:S82)</f>
        <v>199.2</v>
      </c>
      <c r="I80" s="31"/>
      <c r="J80" s="22">
        <f>Source!AT30</f>
        <v>97</v>
      </c>
      <c r="K80" s="27">
        <f>SUM(T75:T82)</f>
        <v>6475.93</v>
      </c>
      <c r="L80" s="28"/>
    </row>
    <row r="81" spans="1:26" ht="14.25" x14ac:dyDescent="0.2">
      <c r="A81" s="23"/>
      <c r="B81" s="24"/>
      <c r="C81" s="22" t="s">
        <v>519</v>
      </c>
      <c r="D81" s="25" t="s">
        <v>518</v>
      </c>
      <c r="E81" s="10">
        <f>Source!CA30</f>
        <v>51</v>
      </c>
      <c r="F81" s="30"/>
      <c r="G81" s="26"/>
      <c r="H81" s="27">
        <f>SUM(U75:U82)</f>
        <v>104.73</v>
      </c>
      <c r="I81" s="31"/>
      <c r="J81" s="22">
        <f>Source!AU30</f>
        <v>51</v>
      </c>
      <c r="K81" s="27">
        <f>SUM(V75:V82)</f>
        <v>3404.87</v>
      </c>
      <c r="L81" s="28"/>
    </row>
    <row r="82" spans="1:26" ht="14.25" x14ac:dyDescent="0.2">
      <c r="A82" s="35"/>
      <c r="B82" s="36"/>
      <c r="C82" s="37" t="s">
        <v>520</v>
      </c>
      <c r="D82" s="38" t="s">
        <v>521</v>
      </c>
      <c r="E82" s="39">
        <f>Source!AQ30</f>
        <v>23.04</v>
      </c>
      <c r="F82" s="40"/>
      <c r="G82" s="41" t="str">
        <f>Source!DI30</f>
        <v/>
      </c>
      <c r="H82" s="40"/>
      <c r="I82" s="41"/>
      <c r="J82" s="41"/>
      <c r="K82" s="40"/>
      <c r="L82" s="42">
        <f>Source!U30</f>
        <v>22.5792</v>
      </c>
    </row>
    <row r="83" spans="1:26" ht="15" x14ac:dyDescent="0.25">
      <c r="G83" s="64">
        <f>ROUND(Source!AC30*Source!I30, 2)+ROUND(Source!AF30*Source!I30, 2)+ROUND((((Source!ET30)-(Source!EU30))+Source!AE30)*Source!I30, 2)+SUM(H80:H81)</f>
        <v>595.53</v>
      </c>
      <c r="H83" s="64"/>
      <c r="J83" s="64">
        <f>Source!O30+SUM(K80:K81)</f>
        <v>17241.09</v>
      </c>
      <c r="K83" s="64"/>
      <c r="L83" s="34">
        <f>Source!U30</f>
        <v>22.5792</v>
      </c>
      <c r="O83" s="33">
        <f>G83</f>
        <v>595.53</v>
      </c>
      <c r="P83" s="33">
        <f>J83</f>
        <v>17241.09</v>
      </c>
      <c r="Q83" s="33">
        <f>L83</f>
        <v>22.5792</v>
      </c>
      <c r="W83">
        <f>IF(Source!BI30&lt;=1,G83, 0)</f>
        <v>0</v>
      </c>
      <c r="X83">
        <f>IF(Source!BI30=2,G83, 0)</f>
        <v>595.53</v>
      </c>
      <c r="Y83">
        <f>IF(Source!BI30=3,G83, 0)</f>
        <v>0</v>
      </c>
      <c r="Z83">
        <f>IF(Source!BI30=4,G83, 0)</f>
        <v>0</v>
      </c>
    </row>
    <row r="84" spans="1:26" ht="28.5" x14ac:dyDescent="0.2">
      <c r="A84" s="23" t="str">
        <f>Source!E31</f>
        <v>8</v>
      </c>
      <c r="B84" s="24" t="str">
        <f>Source!F31</f>
        <v>м08-02-142-1</v>
      </c>
      <c r="C84" s="22" t="str">
        <f>Source!G31</f>
        <v>Устройство постели при одном кабеле в траншее</v>
      </c>
      <c r="D84" s="25" t="str">
        <f>Source!H31</f>
        <v>100 М КАБЕЛЯ</v>
      </c>
      <c r="E84" s="10">
        <f>Source!I31</f>
        <v>0.37</v>
      </c>
      <c r="F84" s="27">
        <f>IF(Source!AK31&lt;&gt; 0, Source!AK31,Source!AL31 + Source!AM31 + Source!AO31)</f>
        <v>406.46</v>
      </c>
      <c r="G84" s="26"/>
      <c r="H84" s="27"/>
      <c r="I84" s="26" t="str">
        <f>Source!BO31</f>
        <v>м08-02-142-1</v>
      </c>
      <c r="J84" s="26"/>
      <c r="K84" s="27"/>
      <c r="L84" s="28"/>
      <c r="S84">
        <f>ROUND((Source!FX31/100)*((ROUND(Source!AF31*Source!I31, 2)+ROUND(Source!AE31*Source!I31, 2))), 2)</f>
        <v>17.100000000000001</v>
      </c>
      <c r="T84">
        <f>Source!X31</f>
        <v>555.97</v>
      </c>
      <c r="U84">
        <f>ROUND((Source!FY31/100)*((ROUND(Source!AF31*Source!I31, 2)+ROUND(Source!AE31*Source!I31, 2))), 2)</f>
        <v>8.99</v>
      </c>
      <c r="V84">
        <f>Source!Y31</f>
        <v>292.32</v>
      </c>
    </row>
    <row r="85" spans="1:26" x14ac:dyDescent="0.2">
      <c r="C85" s="29" t="str">
        <f>"Объем: "&amp;Source!I31&amp;"=37/"&amp;"100"</f>
        <v>Объем: 0,37=37/100</v>
      </c>
    </row>
    <row r="86" spans="1:26" ht="14.25" x14ac:dyDescent="0.2">
      <c r="A86" s="23"/>
      <c r="B86" s="24"/>
      <c r="C86" s="22" t="s">
        <v>515</v>
      </c>
      <c r="D86" s="25"/>
      <c r="E86" s="10"/>
      <c r="F86" s="27">
        <f>Source!AO31</f>
        <v>47.65</v>
      </c>
      <c r="G86" s="26" t="str">
        <f>Source!DG31</f>
        <v/>
      </c>
      <c r="H86" s="27">
        <f>ROUND(Source!AF31*Source!I31, 2)</f>
        <v>17.63</v>
      </c>
      <c r="I86" s="26"/>
      <c r="J86" s="26">
        <f>IF(Source!BA31&lt;&gt; 0, Source!BA31, 1)</f>
        <v>32.51</v>
      </c>
      <c r="K86" s="27">
        <f>Source!S31</f>
        <v>573.16999999999996</v>
      </c>
      <c r="L86" s="28"/>
      <c r="R86">
        <f>H86</f>
        <v>17.63</v>
      </c>
    </row>
    <row r="87" spans="1:26" ht="14.25" x14ac:dyDescent="0.2">
      <c r="A87" s="23"/>
      <c r="B87" s="24"/>
      <c r="C87" s="22" t="s">
        <v>203</v>
      </c>
      <c r="D87" s="25"/>
      <c r="E87" s="10"/>
      <c r="F87" s="27">
        <f>Source!AM31</f>
        <v>357.86</v>
      </c>
      <c r="G87" s="26" t="str">
        <f>Source!DE31</f>
        <v/>
      </c>
      <c r="H87" s="27">
        <f>ROUND((((Source!ET31)-(Source!EU31))+Source!AE31)*Source!I31, 2)</f>
        <v>132.41</v>
      </c>
      <c r="I87" s="26"/>
      <c r="J87" s="26">
        <f>IF(Source!BB31&lt;&gt; 0, Source!BB31, 1)</f>
        <v>13.86</v>
      </c>
      <c r="K87" s="27">
        <f>Source!Q31</f>
        <v>1835.18</v>
      </c>
      <c r="L87" s="28"/>
    </row>
    <row r="88" spans="1:26" ht="14.25" x14ac:dyDescent="0.2">
      <c r="A88" s="23"/>
      <c r="B88" s="24"/>
      <c r="C88" s="22" t="s">
        <v>517</v>
      </c>
      <c r="D88" s="25" t="s">
        <v>518</v>
      </c>
      <c r="E88" s="10">
        <f>Source!BZ31</f>
        <v>97</v>
      </c>
      <c r="F88" s="30"/>
      <c r="G88" s="26"/>
      <c r="H88" s="27">
        <f>SUM(S84:S90)</f>
        <v>17.100000000000001</v>
      </c>
      <c r="I88" s="31"/>
      <c r="J88" s="22">
        <f>Source!AT31</f>
        <v>97</v>
      </c>
      <c r="K88" s="27">
        <f>SUM(T84:T90)</f>
        <v>555.97</v>
      </c>
      <c r="L88" s="28"/>
    </row>
    <row r="89" spans="1:26" ht="14.25" x14ac:dyDescent="0.2">
      <c r="A89" s="23"/>
      <c r="B89" s="24"/>
      <c r="C89" s="22" t="s">
        <v>519</v>
      </c>
      <c r="D89" s="25" t="s">
        <v>518</v>
      </c>
      <c r="E89" s="10">
        <f>Source!CA31</f>
        <v>51</v>
      </c>
      <c r="F89" s="30"/>
      <c r="G89" s="26"/>
      <c r="H89" s="27">
        <f>SUM(U84:U90)</f>
        <v>8.99</v>
      </c>
      <c r="I89" s="31"/>
      <c r="J89" s="22">
        <f>Source!AU31</f>
        <v>51</v>
      </c>
      <c r="K89" s="27">
        <f>SUM(V84:V90)</f>
        <v>292.32</v>
      </c>
      <c r="L89" s="28"/>
    </row>
    <row r="90" spans="1:26" ht="14.25" x14ac:dyDescent="0.2">
      <c r="A90" s="35"/>
      <c r="B90" s="36"/>
      <c r="C90" s="37" t="s">
        <v>520</v>
      </c>
      <c r="D90" s="38" t="s">
        <v>521</v>
      </c>
      <c r="E90" s="39">
        <f>Source!AQ31</f>
        <v>5.3</v>
      </c>
      <c r="F90" s="40"/>
      <c r="G90" s="41" t="str">
        <f>Source!DI31</f>
        <v/>
      </c>
      <c r="H90" s="40"/>
      <c r="I90" s="41"/>
      <c r="J90" s="41"/>
      <c r="K90" s="40"/>
      <c r="L90" s="42">
        <f>Source!U31</f>
        <v>1.9609999999999999</v>
      </c>
    </row>
    <row r="91" spans="1:26" ht="15" x14ac:dyDescent="0.25">
      <c r="G91" s="64">
        <f>ROUND(Source!AC31*Source!I31, 2)+ROUND(Source!AF31*Source!I31, 2)+ROUND((((Source!ET31)-(Source!EU31))+Source!AE31)*Source!I31, 2)+SUM(H88:H89)</f>
        <v>176.13</v>
      </c>
      <c r="H91" s="64"/>
      <c r="J91" s="64">
        <f>Source!O31+SUM(K88:K89)</f>
        <v>3256.64</v>
      </c>
      <c r="K91" s="64"/>
      <c r="L91" s="34">
        <f>Source!U31</f>
        <v>1.9609999999999999</v>
      </c>
      <c r="O91" s="33">
        <f>G91</f>
        <v>176.13</v>
      </c>
      <c r="P91" s="33">
        <f>J91</f>
        <v>3256.64</v>
      </c>
      <c r="Q91" s="33">
        <f>L91</f>
        <v>1.9609999999999999</v>
      </c>
      <c r="W91">
        <f>IF(Source!BI31&lt;=1,G91, 0)</f>
        <v>0</v>
      </c>
      <c r="X91">
        <f>IF(Source!BI31=2,G91, 0)</f>
        <v>176.13</v>
      </c>
      <c r="Y91">
        <f>IF(Source!BI31=3,G91, 0)</f>
        <v>0</v>
      </c>
      <c r="Z91">
        <f>IF(Source!BI31=4,G91, 0)</f>
        <v>0</v>
      </c>
    </row>
    <row r="92" spans="1:26" ht="28.5" x14ac:dyDescent="0.2">
      <c r="A92" s="23" t="str">
        <f>Source!E32</f>
        <v>9</v>
      </c>
      <c r="B92" s="24" t="str">
        <f>Source!F32</f>
        <v>м08-02-142-2</v>
      </c>
      <c r="C92" s="22" t="str">
        <f>Source!G32</f>
        <v>На каждый последующий кабель добавлять к расценке 08-02-142-01</v>
      </c>
      <c r="D92" s="25" t="str">
        <f>Source!H32</f>
        <v>100 М КАБЕЛЯ</v>
      </c>
      <c r="E92" s="10">
        <f>Source!I32</f>
        <v>0.37</v>
      </c>
      <c r="F92" s="27">
        <f>IF(Source!AK32&lt;&gt; 0, Source!AK32,Source!AL32 + Source!AM32 + Source!AO32)</f>
        <v>25.59</v>
      </c>
      <c r="G92" s="26"/>
      <c r="H92" s="27"/>
      <c r="I92" s="26" t="str">
        <f>Source!BO32</f>
        <v>м08-02-142-2</v>
      </c>
      <c r="J92" s="26"/>
      <c r="K92" s="27"/>
      <c r="L92" s="28"/>
      <c r="S92">
        <f>ROUND((Source!FX32/100)*((ROUND(Source!AF32*Source!I32, 2)+ROUND(Source!AE32*Source!I32, 2))), 2)</f>
        <v>6.42</v>
      </c>
      <c r="T92">
        <f>Source!X32</f>
        <v>208.73</v>
      </c>
      <c r="U92">
        <f>ROUND((Source!FY32/100)*((ROUND(Source!AF32*Source!I32, 2)+ROUND(Source!AE32*Source!I32, 2))), 2)</f>
        <v>3.38</v>
      </c>
      <c r="V92">
        <f>Source!Y32</f>
        <v>109.75</v>
      </c>
    </row>
    <row r="93" spans="1:26" x14ac:dyDescent="0.2">
      <c r="C93" s="29" t="str">
        <f>"Объем: "&amp;Source!I32&amp;"=37/"&amp;"100"</f>
        <v>Объем: 0,37=37/100</v>
      </c>
    </row>
    <row r="94" spans="1:26" ht="14.25" x14ac:dyDescent="0.2">
      <c r="A94" s="23"/>
      <c r="B94" s="24"/>
      <c r="C94" s="22" t="s">
        <v>515</v>
      </c>
      <c r="D94" s="25"/>
      <c r="E94" s="10"/>
      <c r="F94" s="27">
        <f>Source!AO32</f>
        <v>17.89</v>
      </c>
      <c r="G94" s="26" t="str">
        <f>Source!DG32</f>
        <v/>
      </c>
      <c r="H94" s="27">
        <f>ROUND(Source!AF32*Source!I32, 2)</f>
        <v>6.62</v>
      </c>
      <c r="I94" s="26"/>
      <c r="J94" s="26">
        <f>IF(Source!BA32&lt;&gt; 0, Source!BA32, 1)</f>
        <v>32.51</v>
      </c>
      <c r="K94" s="27">
        <f>Source!S32</f>
        <v>215.19</v>
      </c>
      <c r="L94" s="28"/>
      <c r="R94">
        <f>H94</f>
        <v>6.62</v>
      </c>
    </row>
    <row r="95" spans="1:26" ht="14.25" x14ac:dyDescent="0.2">
      <c r="A95" s="23"/>
      <c r="B95" s="24"/>
      <c r="C95" s="22" t="s">
        <v>203</v>
      </c>
      <c r="D95" s="25"/>
      <c r="E95" s="10"/>
      <c r="F95" s="27">
        <f>Source!AM32</f>
        <v>7.34</v>
      </c>
      <c r="G95" s="26" t="str">
        <f>Source!DE32</f>
        <v/>
      </c>
      <c r="H95" s="27">
        <f>ROUND((((Source!ET32)-(Source!EU32))+Source!AE32)*Source!I32, 2)</f>
        <v>2.72</v>
      </c>
      <c r="I95" s="26"/>
      <c r="J95" s="26">
        <f>IF(Source!BB32&lt;&gt; 0, Source!BB32, 1)</f>
        <v>13.86</v>
      </c>
      <c r="K95" s="27">
        <f>Source!Q32</f>
        <v>37.64</v>
      </c>
      <c r="L95" s="28"/>
    </row>
    <row r="96" spans="1:26" ht="14.25" x14ac:dyDescent="0.2">
      <c r="A96" s="23"/>
      <c r="B96" s="24"/>
      <c r="C96" s="22" t="s">
        <v>517</v>
      </c>
      <c r="D96" s="25" t="s">
        <v>518</v>
      </c>
      <c r="E96" s="10">
        <f>Source!BZ32</f>
        <v>97</v>
      </c>
      <c r="F96" s="30"/>
      <c r="G96" s="26"/>
      <c r="H96" s="27">
        <f>SUM(S92:S98)</f>
        <v>6.42</v>
      </c>
      <c r="I96" s="31"/>
      <c r="J96" s="22">
        <f>Source!AT32</f>
        <v>97</v>
      </c>
      <c r="K96" s="27">
        <f>SUM(T92:T98)</f>
        <v>208.73</v>
      </c>
      <c r="L96" s="28"/>
    </row>
    <row r="97" spans="1:26" ht="14.25" x14ac:dyDescent="0.2">
      <c r="A97" s="23"/>
      <c r="B97" s="24"/>
      <c r="C97" s="22" t="s">
        <v>519</v>
      </c>
      <c r="D97" s="25" t="s">
        <v>518</v>
      </c>
      <c r="E97" s="10">
        <f>Source!CA32</f>
        <v>51</v>
      </c>
      <c r="F97" s="30"/>
      <c r="G97" s="26"/>
      <c r="H97" s="27">
        <f>SUM(U92:U98)</f>
        <v>3.38</v>
      </c>
      <c r="I97" s="31"/>
      <c r="J97" s="22">
        <f>Source!AU32</f>
        <v>51</v>
      </c>
      <c r="K97" s="27">
        <f>SUM(V92:V98)</f>
        <v>109.75</v>
      </c>
      <c r="L97" s="28"/>
    </row>
    <row r="98" spans="1:26" ht="14.25" x14ac:dyDescent="0.2">
      <c r="A98" s="35"/>
      <c r="B98" s="36"/>
      <c r="C98" s="37" t="s">
        <v>520</v>
      </c>
      <c r="D98" s="38" t="s">
        <v>521</v>
      </c>
      <c r="E98" s="39">
        <f>Source!AQ32</f>
        <v>1.99</v>
      </c>
      <c r="F98" s="40"/>
      <c r="G98" s="41" t="str">
        <f>Source!DI32</f>
        <v/>
      </c>
      <c r="H98" s="40"/>
      <c r="I98" s="41"/>
      <c r="J98" s="41"/>
      <c r="K98" s="40"/>
      <c r="L98" s="42">
        <f>Source!U32</f>
        <v>0.73629999999999995</v>
      </c>
    </row>
    <row r="99" spans="1:26" ht="15" x14ac:dyDescent="0.25">
      <c r="G99" s="64">
        <f>ROUND(Source!AC32*Source!I32, 2)+ROUND(Source!AF32*Source!I32, 2)+ROUND((((Source!ET32)-(Source!EU32))+Source!AE32)*Source!I32, 2)+SUM(H96:H97)</f>
        <v>19.14</v>
      </c>
      <c r="H99" s="64"/>
      <c r="J99" s="64">
        <f>Source!O32+SUM(K96:K97)</f>
        <v>571.31000000000006</v>
      </c>
      <c r="K99" s="64"/>
      <c r="L99" s="34">
        <f>Source!U32</f>
        <v>0.73629999999999995</v>
      </c>
      <c r="O99" s="33">
        <f>G99</f>
        <v>19.14</v>
      </c>
      <c r="P99" s="33">
        <f>J99</f>
        <v>571.31000000000006</v>
      </c>
      <c r="Q99" s="33">
        <f>L99</f>
        <v>0.73629999999999995</v>
      </c>
      <c r="W99">
        <f>IF(Source!BI32&lt;=1,G99, 0)</f>
        <v>0</v>
      </c>
      <c r="X99">
        <f>IF(Source!BI32=2,G99, 0)</f>
        <v>19.14</v>
      </c>
      <c r="Y99">
        <f>IF(Source!BI32=3,G99, 0)</f>
        <v>0</v>
      </c>
      <c r="Z99">
        <f>IF(Source!BI32=4,G99, 0)</f>
        <v>0</v>
      </c>
    </row>
    <row r="100" spans="1:26" ht="28.5" x14ac:dyDescent="0.2">
      <c r="A100" s="23" t="str">
        <f>Source!E33</f>
        <v>10</v>
      </c>
      <c r="B100" s="24" t="str">
        <f>Source!F33</f>
        <v>м08-02-141-4</v>
      </c>
      <c r="C100" s="22" t="str">
        <f>Source!G33</f>
        <v>Кабель до 35 кВ в готовых траншеях без покрытий, масса 1 м до 6 кг</v>
      </c>
      <c r="D100" s="25" t="str">
        <f>Source!H33</f>
        <v>100 М КАБЕЛЯ</v>
      </c>
      <c r="E100" s="10">
        <f>Source!I33</f>
        <v>0.74</v>
      </c>
      <c r="F100" s="27">
        <f>IF(Source!AK33&lt;&gt; 0, Source!AK33,Source!AL33 + Source!AM33 + Source!AO33)</f>
        <v>573.20000000000005</v>
      </c>
      <c r="G100" s="26"/>
      <c r="H100" s="27"/>
      <c r="I100" s="26" t="str">
        <f>Source!BO33</f>
        <v>м08-02-141-4</v>
      </c>
      <c r="J100" s="26"/>
      <c r="K100" s="27"/>
      <c r="L100" s="28"/>
      <c r="S100">
        <f>ROUND((Source!FX33/100)*((ROUND(Source!AF33*Source!I33, 2)+ROUND(Source!AE33*Source!I33, 2))), 2)</f>
        <v>124</v>
      </c>
      <c r="T100">
        <f>Source!X33</f>
        <v>4031.48</v>
      </c>
      <c r="U100">
        <f>ROUND((Source!FY33/100)*((ROUND(Source!AF33*Source!I33, 2)+ROUND(Source!AE33*Source!I33, 2))), 2)</f>
        <v>65.2</v>
      </c>
      <c r="V100">
        <f>Source!Y33</f>
        <v>2119.64</v>
      </c>
    </row>
    <row r="101" spans="1:26" x14ac:dyDescent="0.2">
      <c r="C101" s="29" t="str">
        <f>"Объем: "&amp;Source!I33&amp;"=74/"&amp;"100"</f>
        <v>Объем: 0,74=74/100</v>
      </c>
    </row>
    <row r="102" spans="1:26" ht="14.25" x14ac:dyDescent="0.2">
      <c r="A102" s="23"/>
      <c r="B102" s="24"/>
      <c r="C102" s="22" t="s">
        <v>515</v>
      </c>
      <c r="D102" s="25"/>
      <c r="E102" s="10"/>
      <c r="F102" s="27">
        <f>Source!AO33</f>
        <v>156.79</v>
      </c>
      <c r="G102" s="26" t="str">
        <f>Source!DG33</f>
        <v/>
      </c>
      <c r="H102" s="27">
        <f>ROUND(Source!AF33*Source!I33, 2)</f>
        <v>116.02</v>
      </c>
      <c r="I102" s="26"/>
      <c r="J102" s="26">
        <f>IF(Source!BA33&lt;&gt; 0, Source!BA33, 1)</f>
        <v>32.51</v>
      </c>
      <c r="K102" s="27">
        <f>Source!S33</f>
        <v>3771.96</v>
      </c>
      <c r="L102" s="28"/>
      <c r="R102">
        <f>H102</f>
        <v>116.02</v>
      </c>
    </row>
    <row r="103" spans="1:26" ht="14.25" x14ac:dyDescent="0.2">
      <c r="A103" s="23"/>
      <c r="B103" s="24"/>
      <c r="C103" s="22" t="s">
        <v>203</v>
      </c>
      <c r="D103" s="25"/>
      <c r="E103" s="10"/>
      <c r="F103" s="27">
        <f>Source!AM33</f>
        <v>338.26</v>
      </c>
      <c r="G103" s="26" t="str">
        <f>Source!DE33</f>
        <v/>
      </c>
      <c r="H103" s="27">
        <f>ROUND((((Source!ET33)-(Source!EU33))+Source!AE33)*Source!I33, 2)</f>
        <v>250.31</v>
      </c>
      <c r="I103" s="26"/>
      <c r="J103" s="26">
        <f>IF(Source!BB33&lt;&gt; 0, Source!BB33, 1)</f>
        <v>11.13</v>
      </c>
      <c r="K103" s="27">
        <f>Source!Q33</f>
        <v>2785.98</v>
      </c>
      <c r="L103" s="28"/>
    </row>
    <row r="104" spans="1:26" ht="14.25" x14ac:dyDescent="0.2">
      <c r="A104" s="23"/>
      <c r="B104" s="24"/>
      <c r="C104" s="22" t="s">
        <v>516</v>
      </c>
      <c r="D104" s="25"/>
      <c r="E104" s="10"/>
      <c r="F104" s="27">
        <f>Source!AN33</f>
        <v>15.97</v>
      </c>
      <c r="G104" s="26" t="str">
        <f>Source!DF33</f>
        <v/>
      </c>
      <c r="H104" s="27">
        <f>ROUND(Source!AE33*Source!I33, 2)</f>
        <v>11.82</v>
      </c>
      <c r="I104" s="26"/>
      <c r="J104" s="26">
        <f>IF(Source!BS33&lt;&gt; 0, Source!BS33, 1)</f>
        <v>32.51</v>
      </c>
      <c r="K104" s="27">
        <f>Source!R33</f>
        <v>384.2</v>
      </c>
      <c r="L104" s="28"/>
      <c r="R104">
        <f>H104</f>
        <v>11.82</v>
      </c>
    </row>
    <row r="105" spans="1:26" ht="14.25" x14ac:dyDescent="0.2">
      <c r="A105" s="23"/>
      <c r="B105" s="24"/>
      <c r="C105" s="22" t="s">
        <v>517</v>
      </c>
      <c r="D105" s="25" t="s">
        <v>518</v>
      </c>
      <c r="E105" s="10">
        <f>Source!BZ33</f>
        <v>97</v>
      </c>
      <c r="F105" s="30"/>
      <c r="G105" s="26"/>
      <c r="H105" s="27">
        <f>SUM(S100:S107)</f>
        <v>124</v>
      </c>
      <c r="I105" s="31"/>
      <c r="J105" s="22">
        <f>Source!AT33</f>
        <v>97</v>
      </c>
      <c r="K105" s="27">
        <f>SUM(T100:T107)</f>
        <v>4031.48</v>
      </c>
      <c r="L105" s="28"/>
    </row>
    <row r="106" spans="1:26" ht="14.25" x14ac:dyDescent="0.2">
      <c r="A106" s="23"/>
      <c r="B106" s="24"/>
      <c r="C106" s="22" t="s">
        <v>519</v>
      </c>
      <c r="D106" s="25" t="s">
        <v>518</v>
      </c>
      <c r="E106" s="10">
        <f>Source!CA33</f>
        <v>51</v>
      </c>
      <c r="F106" s="30"/>
      <c r="G106" s="26"/>
      <c r="H106" s="27">
        <f>SUM(U100:U107)</f>
        <v>65.2</v>
      </c>
      <c r="I106" s="31"/>
      <c r="J106" s="22">
        <f>Source!AU33</f>
        <v>51</v>
      </c>
      <c r="K106" s="27">
        <f>SUM(V100:V107)</f>
        <v>2119.64</v>
      </c>
      <c r="L106" s="28"/>
    </row>
    <row r="107" spans="1:26" ht="14.25" x14ac:dyDescent="0.2">
      <c r="A107" s="35"/>
      <c r="B107" s="36"/>
      <c r="C107" s="37" t="s">
        <v>520</v>
      </c>
      <c r="D107" s="38" t="s">
        <v>521</v>
      </c>
      <c r="E107" s="39">
        <f>Source!AQ33</f>
        <v>17.440000000000001</v>
      </c>
      <c r="F107" s="40"/>
      <c r="G107" s="41" t="str">
        <f>Source!DI33</f>
        <v/>
      </c>
      <c r="H107" s="40"/>
      <c r="I107" s="41"/>
      <c r="J107" s="41"/>
      <c r="K107" s="40"/>
      <c r="L107" s="42">
        <f>Source!U33</f>
        <v>12.905600000000002</v>
      </c>
    </row>
    <row r="108" spans="1:26" ht="15" x14ac:dyDescent="0.25">
      <c r="G108" s="64">
        <f>ROUND(Source!AC33*Source!I33, 2)+ROUND(Source!AF33*Source!I33, 2)+ROUND((((Source!ET33)-(Source!EU33))+Source!AE33)*Source!I33, 2)+SUM(H105:H106)</f>
        <v>555.53</v>
      </c>
      <c r="H108" s="64"/>
      <c r="J108" s="64">
        <f>Source!O33+SUM(K105:K106)</f>
        <v>12709.06</v>
      </c>
      <c r="K108" s="64"/>
      <c r="L108" s="34">
        <f>Source!U33</f>
        <v>12.905600000000002</v>
      </c>
      <c r="O108" s="33">
        <f>G108</f>
        <v>555.53</v>
      </c>
      <c r="P108" s="33">
        <f>J108</f>
        <v>12709.06</v>
      </c>
      <c r="Q108" s="33">
        <f>L108</f>
        <v>12.905600000000002</v>
      </c>
      <c r="W108">
        <f>IF(Source!BI33&lt;=1,G108, 0)</f>
        <v>0</v>
      </c>
      <c r="X108">
        <f>IF(Source!BI33=2,G108, 0)</f>
        <v>555.53</v>
      </c>
      <c r="Y108">
        <f>IF(Source!BI33=3,G108, 0)</f>
        <v>0</v>
      </c>
      <c r="Z108">
        <f>IF(Source!BI33=4,G108, 0)</f>
        <v>0</v>
      </c>
    </row>
    <row r="109" spans="1:26" ht="28.5" x14ac:dyDescent="0.2">
      <c r="A109" s="23" t="str">
        <f>Source!E34</f>
        <v>11</v>
      </c>
      <c r="B109" s="24" t="str">
        <f>Source!F34</f>
        <v>м08-02-143-1</v>
      </c>
      <c r="C109" s="22" t="str">
        <f>Source!G34</f>
        <v>Покрытие кабеля, проложенного в траншее кирпичом одного кабеля</v>
      </c>
      <c r="D109" s="25" t="str">
        <f>Source!H34</f>
        <v>100 М КАБЕЛЯ</v>
      </c>
      <c r="E109" s="10">
        <f>Source!I34</f>
        <v>0.37</v>
      </c>
      <c r="F109" s="27">
        <f>IF(Source!AK34&lt;&gt; 0, Source!AK34,Source!AL34 + Source!AM34 + Source!AO34)</f>
        <v>446.2</v>
      </c>
      <c r="G109" s="26"/>
      <c r="H109" s="27"/>
      <c r="I109" s="26" t="str">
        <f>Source!BO34</f>
        <v>м08-02-143-1</v>
      </c>
      <c r="J109" s="26"/>
      <c r="K109" s="27"/>
      <c r="L109" s="28"/>
      <c r="S109">
        <f>ROUND((Source!FX34/100)*((ROUND(Source!AF34*Source!I34, 2)+ROUND(Source!AE34*Source!I34, 2))), 2)</f>
        <v>24.32</v>
      </c>
      <c r="T109">
        <f>Source!X34</f>
        <v>790.72</v>
      </c>
      <c r="U109">
        <f>ROUND((Source!FY34/100)*((ROUND(Source!AF34*Source!I34, 2)+ROUND(Source!AE34*Source!I34, 2))), 2)</f>
        <v>12.79</v>
      </c>
      <c r="V109">
        <f>Source!Y34</f>
        <v>415.74</v>
      </c>
    </row>
    <row r="110" spans="1:26" x14ac:dyDescent="0.2">
      <c r="C110" s="29" t="str">
        <f>"Объем: "&amp;Source!I34&amp;"=37/"&amp;"100"</f>
        <v>Объем: 0,37=37/100</v>
      </c>
    </row>
    <row r="111" spans="1:26" ht="14.25" x14ac:dyDescent="0.2">
      <c r="A111" s="23"/>
      <c r="B111" s="24"/>
      <c r="C111" s="22" t="s">
        <v>515</v>
      </c>
      <c r="D111" s="25"/>
      <c r="E111" s="10"/>
      <c r="F111" s="27">
        <f>Source!AO34</f>
        <v>46.84</v>
      </c>
      <c r="G111" s="26" t="str">
        <f>Source!DG34</f>
        <v/>
      </c>
      <c r="H111" s="27">
        <f>ROUND(Source!AF34*Source!I34, 2)</f>
        <v>17.329999999999998</v>
      </c>
      <c r="I111" s="26"/>
      <c r="J111" s="26">
        <f>IF(Source!BA34&lt;&gt; 0, Source!BA34, 1)</f>
        <v>32.51</v>
      </c>
      <c r="K111" s="27">
        <f>Source!S34</f>
        <v>563.41999999999996</v>
      </c>
      <c r="L111" s="28"/>
      <c r="R111">
        <f>H111</f>
        <v>17.329999999999998</v>
      </c>
    </row>
    <row r="112" spans="1:26" ht="14.25" x14ac:dyDescent="0.2">
      <c r="A112" s="23"/>
      <c r="B112" s="24"/>
      <c r="C112" s="22" t="s">
        <v>203</v>
      </c>
      <c r="D112" s="25"/>
      <c r="E112" s="10"/>
      <c r="F112" s="27">
        <f>Source!AM34</f>
        <v>398.42</v>
      </c>
      <c r="G112" s="26" t="str">
        <f>Source!DE34</f>
        <v/>
      </c>
      <c r="H112" s="27">
        <f>ROUND((((Source!ET34)-(Source!EU34))+Source!AE34)*Source!I34, 2)</f>
        <v>147.41999999999999</v>
      </c>
      <c r="I112" s="26"/>
      <c r="J112" s="26">
        <f>IF(Source!BB34&lt;&gt; 0, Source!BB34, 1)</f>
        <v>11.79</v>
      </c>
      <c r="K112" s="27">
        <f>Source!Q34</f>
        <v>1738.03</v>
      </c>
      <c r="L112" s="28"/>
    </row>
    <row r="113" spans="1:26" ht="14.25" x14ac:dyDescent="0.2">
      <c r="A113" s="23"/>
      <c r="B113" s="24"/>
      <c r="C113" s="22" t="s">
        <v>516</v>
      </c>
      <c r="D113" s="25"/>
      <c r="E113" s="10"/>
      <c r="F113" s="27">
        <f>Source!AN34</f>
        <v>20.93</v>
      </c>
      <c r="G113" s="26" t="str">
        <f>Source!DF34</f>
        <v/>
      </c>
      <c r="H113" s="27">
        <f>ROUND(Source!AE34*Source!I34, 2)</f>
        <v>7.74</v>
      </c>
      <c r="I113" s="26"/>
      <c r="J113" s="26">
        <f>IF(Source!BS34&lt;&gt; 0, Source!BS34, 1)</f>
        <v>32.51</v>
      </c>
      <c r="K113" s="27">
        <f>Source!R34</f>
        <v>251.76</v>
      </c>
      <c r="L113" s="28"/>
      <c r="R113">
        <f>H113</f>
        <v>7.74</v>
      </c>
    </row>
    <row r="114" spans="1:26" ht="14.25" x14ac:dyDescent="0.2">
      <c r="A114" s="23"/>
      <c r="B114" s="24"/>
      <c r="C114" s="22" t="s">
        <v>517</v>
      </c>
      <c r="D114" s="25" t="s">
        <v>518</v>
      </c>
      <c r="E114" s="10">
        <f>Source!BZ34</f>
        <v>97</v>
      </c>
      <c r="F114" s="30"/>
      <c r="G114" s="26"/>
      <c r="H114" s="27">
        <f>SUM(S109:S116)</f>
        <v>24.32</v>
      </c>
      <c r="I114" s="31"/>
      <c r="J114" s="22">
        <f>Source!AT34</f>
        <v>97</v>
      </c>
      <c r="K114" s="27">
        <f>SUM(T109:T116)</f>
        <v>790.72</v>
      </c>
      <c r="L114" s="28"/>
    </row>
    <row r="115" spans="1:26" ht="14.25" x14ac:dyDescent="0.2">
      <c r="A115" s="23"/>
      <c r="B115" s="24"/>
      <c r="C115" s="22" t="s">
        <v>519</v>
      </c>
      <c r="D115" s="25" t="s">
        <v>518</v>
      </c>
      <c r="E115" s="10">
        <f>Source!CA34</f>
        <v>51</v>
      </c>
      <c r="F115" s="30"/>
      <c r="G115" s="26"/>
      <c r="H115" s="27">
        <f>SUM(U109:U116)</f>
        <v>12.79</v>
      </c>
      <c r="I115" s="31"/>
      <c r="J115" s="22">
        <f>Source!AU34</f>
        <v>51</v>
      </c>
      <c r="K115" s="27">
        <f>SUM(V109:V116)</f>
        <v>415.74</v>
      </c>
      <c r="L115" s="28"/>
    </row>
    <row r="116" spans="1:26" ht="14.25" x14ac:dyDescent="0.2">
      <c r="A116" s="35"/>
      <c r="B116" s="36"/>
      <c r="C116" s="37" t="s">
        <v>520</v>
      </c>
      <c r="D116" s="38" t="s">
        <v>521</v>
      </c>
      <c r="E116" s="39">
        <f>Source!AQ34</f>
        <v>5.21</v>
      </c>
      <c r="F116" s="40"/>
      <c r="G116" s="41" t="str">
        <f>Source!DI34</f>
        <v/>
      </c>
      <c r="H116" s="40"/>
      <c r="I116" s="41"/>
      <c r="J116" s="41"/>
      <c r="K116" s="40"/>
      <c r="L116" s="42">
        <f>Source!U34</f>
        <v>1.9277</v>
      </c>
    </row>
    <row r="117" spans="1:26" ht="15" x14ac:dyDescent="0.25">
      <c r="G117" s="64">
        <f>ROUND(Source!AC34*Source!I34, 2)+ROUND(Source!AF34*Source!I34, 2)+ROUND((((Source!ET34)-(Source!EU34))+Source!AE34)*Source!I34, 2)+SUM(H114:H115)</f>
        <v>201.86</v>
      </c>
      <c r="H117" s="64"/>
      <c r="J117" s="64">
        <f>Source!O34+SUM(K114:K115)</f>
        <v>3507.91</v>
      </c>
      <c r="K117" s="64"/>
      <c r="L117" s="34">
        <f>Source!U34</f>
        <v>1.9277</v>
      </c>
      <c r="O117" s="33">
        <f>G117</f>
        <v>201.86</v>
      </c>
      <c r="P117" s="33">
        <f>J117</f>
        <v>3507.91</v>
      </c>
      <c r="Q117" s="33">
        <f>L117</f>
        <v>1.9277</v>
      </c>
      <c r="W117">
        <f>IF(Source!BI34&lt;=1,G117, 0)</f>
        <v>0</v>
      </c>
      <c r="X117">
        <f>IF(Source!BI34=2,G117, 0)</f>
        <v>201.86</v>
      </c>
      <c r="Y117">
        <f>IF(Source!BI34=3,G117, 0)</f>
        <v>0</v>
      </c>
      <c r="Z117">
        <f>IF(Source!BI34=4,G117, 0)</f>
        <v>0</v>
      </c>
    </row>
    <row r="118" spans="1:26" ht="42.75" x14ac:dyDescent="0.2">
      <c r="A118" s="23" t="str">
        <f>Source!E35</f>
        <v>12</v>
      </c>
      <c r="B118" s="24" t="str">
        <f>Source!F35</f>
        <v>м08-02-143-2</v>
      </c>
      <c r="C118" s="22" t="str">
        <f>Source!G35</f>
        <v>Покрытие кабеля, проложенного в траншее кирпичом каждого последующего</v>
      </c>
      <c r="D118" s="25" t="str">
        <f>Source!H35</f>
        <v>100 М КАБЕЛЯ</v>
      </c>
      <c r="E118" s="10">
        <f>Source!I35</f>
        <v>0.37</v>
      </c>
      <c r="F118" s="27">
        <f>IF(Source!AK35&lt;&gt; 0, Source!AK35,Source!AL35 + Source!AM35 + Source!AO35)</f>
        <v>234.51</v>
      </c>
      <c r="G118" s="26"/>
      <c r="H118" s="27"/>
      <c r="I118" s="26" t="str">
        <f>Source!BO35</f>
        <v>м08-02-143-2</v>
      </c>
      <c r="J118" s="26"/>
      <c r="K118" s="27"/>
      <c r="L118" s="28"/>
      <c r="S118">
        <f>ROUND((Source!FX35/100)*((ROUND(Source!AF35*Source!I35, 2)+ROUND(Source!AE35*Source!I35, 2))), 2)</f>
        <v>12.73</v>
      </c>
      <c r="T118">
        <f>Source!X35</f>
        <v>413.74</v>
      </c>
      <c r="U118">
        <f>ROUND((Source!FY35/100)*((ROUND(Source!AF35*Source!I35, 2)+ROUND(Source!AE35*Source!I35, 2))), 2)</f>
        <v>6.69</v>
      </c>
      <c r="V118">
        <f>Source!Y35</f>
        <v>217.54</v>
      </c>
    </row>
    <row r="119" spans="1:26" x14ac:dyDescent="0.2">
      <c r="C119" s="29" t="str">
        <f>"Объем: "&amp;Source!I35&amp;"=37/"&amp;"100"</f>
        <v>Объем: 0,37=37/100</v>
      </c>
    </row>
    <row r="120" spans="1:26" ht="14.25" x14ac:dyDescent="0.2">
      <c r="A120" s="23"/>
      <c r="B120" s="24"/>
      <c r="C120" s="22" t="s">
        <v>515</v>
      </c>
      <c r="D120" s="25"/>
      <c r="E120" s="10"/>
      <c r="F120" s="27">
        <f>Source!AO35</f>
        <v>24.45</v>
      </c>
      <c r="G120" s="26" t="str">
        <f>Source!DG35</f>
        <v/>
      </c>
      <c r="H120" s="27">
        <f>ROUND(Source!AF35*Source!I35, 2)</f>
        <v>9.0500000000000007</v>
      </c>
      <c r="I120" s="26"/>
      <c r="J120" s="26">
        <f>IF(Source!BA35&lt;&gt; 0, Source!BA35, 1)</f>
        <v>32.51</v>
      </c>
      <c r="K120" s="27">
        <f>Source!S35</f>
        <v>294.10000000000002</v>
      </c>
      <c r="L120" s="28"/>
      <c r="R120">
        <f>H120</f>
        <v>9.0500000000000007</v>
      </c>
    </row>
    <row r="121" spans="1:26" ht="14.25" x14ac:dyDescent="0.2">
      <c r="A121" s="23"/>
      <c r="B121" s="24"/>
      <c r="C121" s="22" t="s">
        <v>203</v>
      </c>
      <c r="D121" s="25"/>
      <c r="E121" s="10"/>
      <c r="F121" s="27">
        <f>Source!AM35</f>
        <v>209.57</v>
      </c>
      <c r="G121" s="26" t="str">
        <f>Source!DE35</f>
        <v/>
      </c>
      <c r="H121" s="27">
        <f>ROUND((((Source!ET35)-(Source!EU35))+Source!AE35)*Source!I35, 2)</f>
        <v>77.540000000000006</v>
      </c>
      <c r="I121" s="26"/>
      <c r="J121" s="26">
        <f>IF(Source!BB35&lt;&gt; 0, Source!BB35, 1)</f>
        <v>11.79</v>
      </c>
      <c r="K121" s="27">
        <f>Source!Q35</f>
        <v>914.21</v>
      </c>
      <c r="L121" s="28"/>
    </row>
    <row r="122" spans="1:26" ht="14.25" x14ac:dyDescent="0.2">
      <c r="A122" s="23"/>
      <c r="B122" s="24"/>
      <c r="C122" s="22" t="s">
        <v>516</v>
      </c>
      <c r="D122" s="25"/>
      <c r="E122" s="10"/>
      <c r="F122" s="27">
        <f>Source!AN35</f>
        <v>11.01</v>
      </c>
      <c r="G122" s="26" t="str">
        <f>Source!DF35</f>
        <v/>
      </c>
      <c r="H122" s="27">
        <f>ROUND(Source!AE35*Source!I35, 2)</f>
        <v>4.07</v>
      </c>
      <c r="I122" s="26"/>
      <c r="J122" s="26">
        <f>IF(Source!BS35&lt;&gt; 0, Source!BS35, 1)</f>
        <v>32.51</v>
      </c>
      <c r="K122" s="27">
        <f>Source!R35</f>
        <v>132.44</v>
      </c>
      <c r="L122" s="28"/>
      <c r="R122">
        <f>H122</f>
        <v>4.07</v>
      </c>
    </row>
    <row r="123" spans="1:26" ht="14.25" x14ac:dyDescent="0.2">
      <c r="A123" s="23"/>
      <c r="B123" s="24"/>
      <c r="C123" s="22" t="s">
        <v>517</v>
      </c>
      <c r="D123" s="25" t="s">
        <v>518</v>
      </c>
      <c r="E123" s="10">
        <f>Source!BZ35</f>
        <v>97</v>
      </c>
      <c r="F123" s="30"/>
      <c r="G123" s="26"/>
      <c r="H123" s="27">
        <f>SUM(S118:S125)</f>
        <v>12.73</v>
      </c>
      <c r="I123" s="31"/>
      <c r="J123" s="22">
        <f>Source!AT35</f>
        <v>97</v>
      </c>
      <c r="K123" s="27">
        <f>SUM(T118:T125)</f>
        <v>413.74</v>
      </c>
      <c r="L123" s="28"/>
    </row>
    <row r="124" spans="1:26" ht="14.25" x14ac:dyDescent="0.2">
      <c r="A124" s="23"/>
      <c r="B124" s="24"/>
      <c r="C124" s="22" t="s">
        <v>519</v>
      </c>
      <c r="D124" s="25" t="s">
        <v>518</v>
      </c>
      <c r="E124" s="10">
        <f>Source!CA35</f>
        <v>51</v>
      </c>
      <c r="F124" s="30"/>
      <c r="G124" s="26"/>
      <c r="H124" s="27">
        <f>SUM(U118:U125)</f>
        <v>6.69</v>
      </c>
      <c r="I124" s="31"/>
      <c r="J124" s="22">
        <f>Source!AU35</f>
        <v>51</v>
      </c>
      <c r="K124" s="27">
        <f>SUM(V118:V125)</f>
        <v>217.54</v>
      </c>
      <c r="L124" s="28"/>
    </row>
    <row r="125" spans="1:26" ht="14.25" x14ac:dyDescent="0.2">
      <c r="A125" s="35"/>
      <c r="B125" s="36"/>
      <c r="C125" s="37" t="s">
        <v>520</v>
      </c>
      <c r="D125" s="38" t="s">
        <v>521</v>
      </c>
      <c r="E125" s="39">
        <f>Source!AQ35</f>
        <v>2.72</v>
      </c>
      <c r="F125" s="40"/>
      <c r="G125" s="41" t="str">
        <f>Source!DI35</f>
        <v/>
      </c>
      <c r="H125" s="40"/>
      <c r="I125" s="41"/>
      <c r="J125" s="41"/>
      <c r="K125" s="40"/>
      <c r="L125" s="42">
        <f>Source!U35</f>
        <v>1.0064</v>
      </c>
    </row>
    <row r="126" spans="1:26" ht="15" x14ac:dyDescent="0.25">
      <c r="G126" s="64">
        <f>ROUND(Source!AC35*Source!I35, 2)+ROUND(Source!AF35*Source!I35, 2)+ROUND((((Source!ET35)-(Source!EU35))+Source!AE35)*Source!I35, 2)+SUM(H123:H124)</f>
        <v>106.01</v>
      </c>
      <c r="H126" s="64"/>
      <c r="J126" s="64">
        <f>Source!O35+SUM(K123:K124)</f>
        <v>1839.59</v>
      </c>
      <c r="K126" s="64"/>
      <c r="L126" s="34">
        <f>Source!U35</f>
        <v>1.0064</v>
      </c>
      <c r="O126" s="33">
        <f>G126</f>
        <v>106.01</v>
      </c>
      <c r="P126" s="33">
        <f>J126</f>
        <v>1839.59</v>
      </c>
      <c r="Q126" s="33">
        <f>L126</f>
        <v>1.0064</v>
      </c>
      <c r="W126">
        <f>IF(Source!BI35&lt;=1,G126, 0)</f>
        <v>0</v>
      </c>
      <c r="X126">
        <f>IF(Source!BI35=2,G126, 0)</f>
        <v>106.01</v>
      </c>
      <c r="Y126">
        <f>IF(Source!BI35=3,G126, 0)</f>
        <v>0</v>
      </c>
      <c r="Z126">
        <f>IF(Source!BI35=4,G126, 0)</f>
        <v>0</v>
      </c>
    </row>
    <row r="127" spans="1:26" ht="42.75" x14ac:dyDescent="0.2">
      <c r="A127" s="23" t="str">
        <f>Source!E36</f>
        <v>13</v>
      </c>
      <c r="B127" s="24" t="str">
        <f>Source!F36</f>
        <v>м08-02-146-5</v>
      </c>
      <c r="C127" s="22" t="str">
        <f>Source!G36</f>
        <v>Кабель до 35 кВ с креплением накладными скобами, масса 1 м кабеля до 6 кг</v>
      </c>
      <c r="D127" s="25" t="str">
        <f>Source!H36</f>
        <v>100 М КАБЕЛЯ</v>
      </c>
      <c r="E127" s="10">
        <f>Source!I36</f>
        <v>0.5</v>
      </c>
      <c r="F127" s="27">
        <f>IF(Source!AK36&lt;&gt; 0, Source!AK36,Source!AL36 + Source!AM36 + Source!AO36)</f>
        <v>1536.28</v>
      </c>
      <c r="G127" s="26"/>
      <c r="H127" s="27"/>
      <c r="I127" s="26" t="str">
        <f>Source!BO36</f>
        <v>м08-02-146-5</v>
      </c>
      <c r="J127" s="26"/>
      <c r="K127" s="27"/>
      <c r="L127" s="28"/>
      <c r="S127">
        <f>ROUND((Source!FX36/100)*((ROUND(Source!AF36*Source!I36, 2)+ROUND(Source!AE36*Source!I36, 2))), 2)</f>
        <v>150.76</v>
      </c>
      <c r="T127">
        <f>Source!X36</f>
        <v>4901.12</v>
      </c>
      <c r="U127">
        <f>ROUND((Source!FY36/100)*((ROUND(Source!AF36*Source!I36, 2)+ROUND(Source!AE36*Source!I36, 2))), 2)</f>
        <v>79.260000000000005</v>
      </c>
      <c r="V127">
        <f>Source!Y36</f>
        <v>2576.88</v>
      </c>
    </row>
    <row r="128" spans="1:26" x14ac:dyDescent="0.2">
      <c r="C128" s="29" t="str">
        <f>"Объем: "&amp;Source!I36&amp;"=50/"&amp;"100"</f>
        <v>Объем: 0,5=50/100</v>
      </c>
    </row>
    <row r="129" spans="1:26" ht="14.25" x14ac:dyDescent="0.2">
      <c r="A129" s="23"/>
      <c r="B129" s="24"/>
      <c r="C129" s="22" t="s">
        <v>515</v>
      </c>
      <c r="D129" s="25"/>
      <c r="E129" s="10"/>
      <c r="F129" s="27">
        <f>Source!AO36</f>
        <v>218.64</v>
      </c>
      <c r="G129" s="26" t="str">
        <f>Source!DG36</f>
        <v/>
      </c>
      <c r="H129" s="27">
        <f>ROUND(Source!AF36*Source!I36, 2)</f>
        <v>109.32</v>
      </c>
      <c r="I129" s="26"/>
      <c r="J129" s="26">
        <f>IF(Source!BA36&lt;&gt; 0, Source!BA36, 1)</f>
        <v>32.51</v>
      </c>
      <c r="K129" s="27">
        <f>Source!S36</f>
        <v>3553.99</v>
      </c>
      <c r="L129" s="28"/>
      <c r="R129">
        <f>H129</f>
        <v>109.32</v>
      </c>
    </row>
    <row r="130" spans="1:26" ht="14.25" x14ac:dyDescent="0.2">
      <c r="A130" s="23"/>
      <c r="B130" s="24"/>
      <c r="C130" s="22" t="s">
        <v>203</v>
      </c>
      <c r="D130" s="25"/>
      <c r="E130" s="10"/>
      <c r="F130" s="27">
        <f>Source!AM36</f>
        <v>1247.1199999999999</v>
      </c>
      <c r="G130" s="26" t="str">
        <f>Source!DE36</f>
        <v/>
      </c>
      <c r="H130" s="27">
        <f>ROUND((((Source!ET36)-(Source!EU36))+Source!AE36)*Source!I36, 2)</f>
        <v>623.55999999999995</v>
      </c>
      <c r="I130" s="26"/>
      <c r="J130" s="26">
        <f>IF(Source!BB36&lt;&gt; 0, Source!BB36, 1)</f>
        <v>12.88</v>
      </c>
      <c r="K130" s="27">
        <f>Source!Q36</f>
        <v>8031.45</v>
      </c>
      <c r="L130" s="28"/>
    </row>
    <row r="131" spans="1:26" ht="14.25" x14ac:dyDescent="0.2">
      <c r="A131" s="23"/>
      <c r="B131" s="24"/>
      <c r="C131" s="22" t="s">
        <v>516</v>
      </c>
      <c r="D131" s="25"/>
      <c r="E131" s="10"/>
      <c r="F131" s="27">
        <f>Source!AN36</f>
        <v>92.2</v>
      </c>
      <c r="G131" s="26" t="str">
        <f>Source!DF36</f>
        <v/>
      </c>
      <c r="H131" s="27">
        <f>ROUND(Source!AE36*Source!I36, 2)</f>
        <v>46.1</v>
      </c>
      <c r="I131" s="26"/>
      <c r="J131" s="26">
        <f>IF(Source!BS36&lt;&gt; 0, Source!BS36, 1)</f>
        <v>32.51</v>
      </c>
      <c r="K131" s="27">
        <f>Source!R36</f>
        <v>1498.71</v>
      </c>
      <c r="L131" s="28"/>
      <c r="R131">
        <f>H131</f>
        <v>46.1</v>
      </c>
    </row>
    <row r="132" spans="1:26" ht="14.25" x14ac:dyDescent="0.2">
      <c r="A132" s="23"/>
      <c r="B132" s="24"/>
      <c r="C132" s="22" t="s">
        <v>517</v>
      </c>
      <c r="D132" s="25" t="s">
        <v>518</v>
      </c>
      <c r="E132" s="10">
        <f>Source!BZ36</f>
        <v>97</v>
      </c>
      <c r="F132" s="30"/>
      <c r="G132" s="26"/>
      <c r="H132" s="27">
        <f>SUM(S127:S134)</f>
        <v>150.76</v>
      </c>
      <c r="I132" s="31"/>
      <c r="J132" s="22">
        <f>Source!AT36</f>
        <v>97</v>
      </c>
      <c r="K132" s="27">
        <f>SUM(T127:T134)</f>
        <v>4901.12</v>
      </c>
      <c r="L132" s="28"/>
    </row>
    <row r="133" spans="1:26" ht="14.25" x14ac:dyDescent="0.2">
      <c r="A133" s="23"/>
      <c r="B133" s="24"/>
      <c r="C133" s="22" t="s">
        <v>519</v>
      </c>
      <c r="D133" s="25" t="s">
        <v>518</v>
      </c>
      <c r="E133" s="10">
        <f>Source!CA36</f>
        <v>51</v>
      </c>
      <c r="F133" s="30"/>
      <c r="G133" s="26"/>
      <c r="H133" s="27">
        <f>SUM(U127:U134)</f>
        <v>79.260000000000005</v>
      </c>
      <c r="I133" s="31"/>
      <c r="J133" s="22">
        <f>Source!AU36</f>
        <v>51</v>
      </c>
      <c r="K133" s="27">
        <f>SUM(V127:V134)</f>
        <v>2576.88</v>
      </c>
      <c r="L133" s="28"/>
    </row>
    <row r="134" spans="1:26" ht="14.25" x14ac:dyDescent="0.2">
      <c r="A134" s="35"/>
      <c r="B134" s="36"/>
      <c r="C134" s="37" t="s">
        <v>520</v>
      </c>
      <c r="D134" s="38" t="s">
        <v>521</v>
      </c>
      <c r="E134" s="39">
        <f>Source!AQ36</f>
        <v>24.32</v>
      </c>
      <c r="F134" s="40"/>
      <c r="G134" s="41" t="str">
        <f>Source!DI36</f>
        <v/>
      </c>
      <c r="H134" s="40"/>
      <c r="I134" s="41"/>
      <c r="J134" s="41"/>
      <c r="K134" s="40"/>
      <c r="L134" s="42">
        <f>Source!U36</f>
        <v>12.16</v>
      </c>
    </row>
    <row r="135" spans="1:26" ht="15" x14ac:dyDescent="0.25">
      <c r="G135" s="64">
        <f>ROUND(Source!AC36*Source!I36, 2)+ROUND(Source!AF36*Source!I36, 2)+ROUND((((Source!ET36)-(Source!EU36))+Source!AE36)*Source!I36, 2)+SUM(H132:H133)</f>
        <v>962.89999999999986</v>
      </c>
      <c r="H135" s="64"/>
      <c r="J135" s="64">
        <f>Source!O36+SUM(K132:K133)</f>
        <v>19063.440000000002</v>
      </c>
      <c r="K135" s="64"/>
      <c r="L135" s="34">
        <f>Source!U36</f>
        <v>12.16</v>
      </c>
      <c r="O135" s="33">
        <f>G135</f>
        <v>962.89999999999986</v>
      </c>
      <c r="P135" s="33">
        <f>J135</f>
        <v>19063.440000000002</v>
      </c>
      <c r="Q135" s="33">
        <f>L135</f>
        <v>12.16</v>
      </c>
      <c r="W135">
        <f>IF(Source!BI36&lt;=1,G135, 0)</f>
        <v>0</v>
      </c>
      <c r="X135">
        <f>IF(Source!BI36=2,G135, 0)</f>
        <v>962.89999999999986</v>
      </c>
      <c r="Y135">
        <f>IF(Source!BI36=3,G135, 0)</f>
        <v>0</v>
      </c>
      <c r="Z135">
        <f>IF(Source!BI36=4,G135, 0)</f>
        <v>0</v>
      </c>
    </row>
    <row r="136" spans="1:26" ht="85.5" x14ac:dyDescent="0.2">
      <c r="A136" s="23" t="str">
        <f>Source!E37</f>
        <v>14</v>
      </c>
      <c r="B136" s="24" t="str">
        <f>Source!F37</f>
        <v>м08-04-741-3</v>
      </c>
      <c r="C136" s="22" t="str">
        <f>Source!G37</f>
        <v>Муфта концевая для кабеля с изоляцией из вулканизированного полиэтилена с применением термоусаживаемой перчатки напряжением 6 кВ, сечением до 1х240 мм2</v>
      </c>
      <c r="D136" s="25" t="str">
        <f>Source!H37</f>
        <v>1 компл. (3 фазы)</v>
      </c>
      <c r="E136" s="10">
        <f>Source!I37</f>
        <v>4</v>
      </c>
      <c r="F136" s="27">
        <f>IF(Source!AK37&lt;&gt; 0, Source!AK37,Source!AL37 + Source!AM37 + Source!AO37)</f>
        <v>264.51</v>
      </c>
      <c r="G136" s="26"/>
      <c r="H136" s="27"/>
      <c r="I136" s="26" t="str">
        <f>Source!BO37</f>
        <v>м08-04-741-3</v>
      </c>
      <c r="J136" s="26"/>
      <c r="K136" s="27"/>
      <c r="L136" s="28"/>
      <c r="S136">
        <f>ROUND((Source!FX37/100)*((ROUND(Source!AF37*Source!I37, 2)+ROUND(Source!AE37*Source!I37, 2))), 2)</f>
        <v>467.42</v>
      </c>
      <c r="T136">
        <f>Source!X37</f>
        <v>15195.94</v>
      </c>
      <c r="U136">
        <f>ROUND((Source!FY37/100)*((ROUND(Source!AF37*Source!I37, 2)+ROUND(Source!AE37*Source!I37, 2))), 2)</f>
        <v>245.76</v>
      </c>
      <c r="V136">
        <f>Source!Y37</f>
        <v>7989.62</v>
      </c>
    </row>
    <row r="137" spans="1:26" ht="14.25" x14ac:dyDescent="0.2">
      <c r="A137" s="23"/>
      <c r="B137" s="24"/>
      <c r="C137" s="22" t="s">
        <v>515</v>
      </c>
      <c r="D137" s="25"/>
      <c r="E137" s="10"/>
      <c r="F137" s="27">
        <f>Source!AO37</f>
        <v>120.47</v>
      </c>
      <c r="G137" s="26" t="str">
        <f>Source!DG37</f>
        <v/>
      </c>
      <c r="H137" s="27">
        <f>ROUND(Source!AF37*Source!I37, 2)</f>
        <v>481.88</v>
      </c>
      <c r="I137" s="26"/>
      <c r="J137" s="26">
        <f>IF(Source!BA37&lt;&gt; 0, Source!BA37, 1)</f>
        <v>32.51</v>
      </c>
      <c r="K137" s="27">
        <f>Source!S37</f>
        <v>15665.92</v>
      </c>
      <c r="L137" s="28"/>
      <c r="R137">
        <f>H137</f>
        <v>481.88</v>
      </c>
    </row>
    <row r="138" spans="1:26" ht="14.25" x14ac:dyDescent="0.2">
      <c r="A138" s="23"/>
      <c r="B138" s="24"/>
      <c r="C138" s="22" t="s">
        <v>517</v>
      </c>
      <c r="D138" s="25" t="s">
        <v>518</v>
      </c>
      <c r="E138" s="10">
        <f>Source!BZ37</f>
        <v>97</v>
      </c>
      <c r="F138" s="30"/>
      <c r="G138" s="26"/>
      <c r="H138" s="27">
        <f>SUM(S136:S140)</f>
        <v>467.42</v>
      </c>
      <c r="I138" s="31"/>
      <c r="J138" s="22">
        <f>Source!AT37</f>
        <v>97</v>
      </c>
      <c r="K138" s="27">
        <f>SUM(T136:T140)</f>
        <v>15195.94</v>
      </c>
      <c r="L138" s="28"/>
    </row>
    <row r="139" spans="1:26" ht="14.25" x14ac:dyDescent="0.2">
      <c r="A139" s="23"/>
      <c r="B139" s="24"/>
      <c r="C139" s="22" t="s">
        <v>519</v>
      </c>
      <c r="D139" s="25" t="s">
        <v>518</v>
      </c>
      <c r="E139" s="10">
        <f>Source!CA37</f>
        <v>51</v>
      </c>
      <c r="F139" s="30"/>
      <c r="G139" s="26"/>
      <c r="H139" s="27">
        <f>SUM(U136:U140)</f>
        <v>245.76</v>
      </c>
      <c r="I139" s="31"/>
      <c r="J139" s="22">
        <f>Source!AU37</f>
        <v>51</v>
      </c>
      <c r="K139" s="27">
        <f>SUM(V136:V140)</f>
        <v>7989.62</v>
      </c>
      <c r="L139" s="28"/>
    </row>
    <row r="140" spans="1:26" ht="14.25" x14ac:dyDescent="0.2">
      <c r="A140" s="35"/>
      <c r="B140" s="36"/>
      <c r="C140" s="37" t="s">
        <v>520</v>
      </c>
      <c r="D140" s="38" t="s">
        <v>521</v>
      </c>
      <c r="E140" s="39">
        <f>Source!AQ37</f>
        <v>13.4</v>
      </c>
      <c r="F140" s="40"/>
      <c r="G140" s="41" t="str">
        <f>Source!DI37</f>
        <v/>
      </c>
      <c r="H140" s="40"/>
      <c r="I140" s="41"/>
      <c r="J140" s="41"/>
      <c r="K140" s="40"/>
      <c r="L140" s="42">
        <f>Source!U37</f>
        <v>53.6</v>
      </c>
    </row>
    <row r="141" spans="1:26" ht="15" x14ac:dyDescent="0.25">
      <c r="G141" s="64">
        <f>ROUND(Source!AC37*Source!I37, 2)+ROUND(Source!AF37*Source!I37, 2)+ROUND((((Source!ET37)-(Source!EU37))+Source!AE37)*Source!I37, 2)+SUM(H138:H139)</f>
        <v>1195.06</v>
      </c>
      <c r="H141" s="64"/>
      <c r="J141" s="64">
        <f>Source!O37+SUM(K138:K139)</f>
        <v>38851.480000000003</v>
      </c>
      <c r="K141" s="64"/>
      <c r="L141" s="34">
        <f>Source!U37</f>
        <v>53.6</v>
      </c>
      <c r="O141" s="33">
        <f>G141</f>
        <v>1195.06</v>
      </c>
      <c r="P141" s="33">
        <f>J141</f>
        <v>38851.480000000003</v>
      </c>
      <c r="Q141" s="33">
        <f>L141</f>
        <v>53.6</v>
      </c>
      <c r="W141">
        <f>IF(Source!BI37&lt;=1,G141, 0)</f>
        <v>0</v>
      </c>
      <c r="X141">
        <f>IF(Source!BI37=2,G141, 0)</f>
        <v>1195.06</v>
      </c>
      <c r="Y141">
        <f>IF(Source!BI37=3,G141, 0)</f>
        <v>0</v>
      </c>
      <c r="Z141">
        <f>IF(Source!BI37=4,G141, 0)</f>
        <v>0</v>
      </c>
    </row>
    <row r="142" spans="1:26" ht="42.75" x14ac:dyDescent="0.2">
      <c r="A142" s="23" t="str">
        <f>Source!E38</f>
        <v>15</v>
      </c>
      <c r="B142" s="24" t="str">
        <f>Source!F38</f>
        <v>м08-03-574-9</v>
      </c>
      <c r="C142" s="22" t="str">
        <f>Source!G38</f>
        <v>Разводка по устройствам и подключение жил кабелей или проводов сечением до 240 мм2</v>
      </c>
      <c r="D142" s="25" t="str">
        <f>Source!H38</f>
        <v>100 жил</v>
      </c>
      <c r="E142" s="10">
        <f>Source!I38</f>
        <v>0.16</v>
      </c>
      <c r="F142" s="27">
        <f>IF(Source!AK38&lt;&gt; 0, Source!AK38,Source!AL38 + Source!AM38 + Source!AO38)</f>
        <v>1483.36</v>
      </c>
      <c r="G142" s="26"/>
      <c r="H142" s="27"/>
      <c r="I142" s="26" t="str">
        <f>Source!BO38</f>
        <v>м08-03-574-9</v>
      </c>
      <c r="J142" s="26"/>
      <c r="K142" s="27"/>
      <c r="L142" s="28"/>
      <c r="S142">
        <f>ROUND((Source!FX38/100)*((ROUND(Source!AF38*Source!I38, 2)+ROUND(Source!AE38*Source!I38, 2))), 2)</f>
        <v>144.04</v>
      </c>
      <c r="T142">
        <f>Source!X38</f>
        <v>4682.72</v>
      </c>
      <c r="U142">
        <f>ROUND((Source!FY38/100)*((ROUND(Source!AF38*Source!I38, 2)+ROUND(Source!AE38*Source!I38, 2))), 2)</f>
        <v>75.73</v>
      </c>
      <c r="V142">
        <f>Source!Y38</f>
        <v>2462.0500000000002</v>
      </c>
    </row>
    <row r="143" spans="1:26" x14ac:dyDescent="0.2">
      <c r="C143" s="29" t="str">
        <f>"Объем: "&amp;Source!I38&amp;"=16/"&amp;"100"</f>
        <v>Объем: 0,16=16/100</v>
      </c>
    </row>
    <row r="144" spans="1:26" ht="14.25" x14ac:dyDescent="0.2">
      <c r="A144" s="23"/>
      <c r="B144" s="24"/>
      <c r="C144" s="22" t="s">
        <v>515</v>
      </c>
      <c r="D144" s="25"/>
      <c r="E144" s="10"/>
      <c r="F144" s="27">
        <f>Source!AO38</f>
        <v>927</v>
      </c>
      <c r="G144" s="26" t="str">
        <f>Source!DG38</f>
        <v/>
      </c>
      <c r="H144" s="27">
        <f>ROUND(Source!AF38*Source!I38, 2)</f>
        <v>148.32</v>
      </c>
      <c r="I144" s="26"/>
      <c r="J144" s="26">
        <f>IF(Source!BA38&lt;&gt; 0, Source!BA38, 1)</f>
        <v>32.51</v>
      </c>
      <c r="K144" s="27">
        <f>Source!S38</f>
        <v>4821.88</v>
      </c>
      <c r="L144" s="28"/>
      <c r="R144">
        <f>H144</f>
        <v>148.32</v>
      </c>
    </row>
    <row r="145" spans="1:26" ht="14.25" x14ac:dyDescent="0.2">
      <c r="A145" s="23"/>
      <c r="B145" s="24"/>
      <c r="C145" s="22" t="s">
        <v>203</v>
      </c>
      <c r="D145" s="25"/>
      <c r="E145" s="10"/>
      <c r="F145" s="27">
        <f>Source!AM38</f>
        <v>57.57</v>
      </c>
      <c r="G145" s="26" t="str">
        <f>Source!DE38</f>
        <v/>
      </c>
      <c r="H145" s="27">
        <f>ROUND((((Source!ET38)-(Source!EU38))+Source!AE38)*Source!I38, 2)</f>
        <v>9.2100000000000009</v>
      </c>
      <c r="I145" s="26"/>
      <c r="J145" s="26">
        <f>IF(Source!BB38&lt;&gt; 0, Source!BB38, 1)</f>
        <v>10.11</v>
      </c>
      <c r="K145" s="27">
        <f>Source!Q38</f>
        <v>93.13</v>
      </c>
      <c r="L145" s="28"/>
    </row>
    <row r="146" spans="1:26" ht="14.25" x14ac:dyDescent="0.2">
      <c r="A146" s="23"/>
      <c r="B146" s="24"/>
      <c r="C146" s="22" t="s">
        <v>516</v>
      </c>
      <c r="D146" s="25"/>
      <c r="E146" s="10"/>
      <c r="F146" s="27">
        <f>Source!AN38</f>
        <v>1.0900000000000001</v>
      </c>
      <c r="G146" s="26" t="str">
        <f>Source!DF38</f>
        <v/>
      </c>
      <c r="H146" s="27">
        <f>ROUND(Source!AE38*Source!I38, 2)</f>
        <v>0.17</v>
      </c>
      <c r="I146" s="26"/>
      <c r="J146" s="26">
        <f>IF(Source!BS38&lt;&gt; 0, Source!BS38, 1)</f>
        <v>32.51</v>
      </c>
      <c r="K146" s="27">
        <f>Source!R38</f>
        <v>5.67</v>
      </c>
      <c r="L146" s="28"/>
      <c r="R146">
        <f>H146</f>
        <v>0.17</v>
      </c>
    </row>
    <row r="147" spans="1:26" ht="14.25" x14ac:dyDescent="0.2">
      <c r="A147" s="23"/>
      <c r="B147" s="24"/>
      <c r="C147" s="22" t="s">
        <v>517</v>
      </c>
      <c r="D147" s="25" t="s">
        <v>518</v>
      </c>
      <c r="E147" s="10">
        <f>Source!BZ38</f>
        <v>97</v>
      </c>
      <c r="F147" s="30"/>
      <c r="G147" s="26"/>
      <c r="H147" s="27">
        <f>SUM(S142:S149)</f>
        <v>144.04</v>
      </c>
      <c r="I147" s="31"/>
      <c r="J147" s="22">
        <f>Source!AT38</f>
        <v>97</v>
      </c>
      <c r="K147" s="27">
        <f>SUM(T142:T149)</f>
        <v>4682.72</v>
      </c>
      <c r="L147" s="28"/>
    </row>
    <row r="148" spans="1:26" ht="14.25" x14ac:dyDescent="0.2">
      <c r="A148" s="23"/>
      <c r="B148" s="24"/>
      <c r="C148" s="22" t="s">
        <v>519</v>
      </c>
      <c r="D148" s="25" t="s">
        <v>518</v>
      </c>
      <c r="E148" s="10">
        <f>Source!CA38</f>
        <v>51</v>
      </c>
      <c r="F148" s="30"/>
      <c r="G148" s="26"/>
      <c r="H148" s="27">
        <f>SUM(U142:U149)</f>
        <v>75.73</v>
      </c>
      <c r="I148" s="31"/>
      <c r="J148" s="22">
        <f>Source!AU38</f>
        <v>51</v>
      </c>
      <c r="K148" s="27">
        <f>SUM(V142:V149)</f>
        <v>2462.0500000000002</v>
      </c>
      <c r="L148" s="28"/>
    </row>
    <row r="149" spans="1:26" ht="14.25" x14ac:dyDescent="0.2">
      <c r="A149" s="35"/>
      <c r="B149" s="36"/>
      <c r="C149" s="37" t="s">
        <v>520</v>
      </c>
      <c r="D149" s="38" t="s">
        <v>521</v>
      </c>
      <c r="E149" s="39">
        <f>Source!AQ38</f>
        <v>100</v>
      </c>
      <c r="F149" s="40"/>
      <c r="G149" s="41" t="str">
        <f>Source!DI38</f>
        <v/>
      </c>
      <c r="H149" s="40"/>
      <c r="I149" s="41"/>
      <c r="J149" s="41"/>
      <c r="K149" s="40"/>
      <c r="L149" s="42">
        <f>Source!U38</f>
        <v>16</v>
      </c>
    </row>
    <row r="150" spans="1:26" ht="15" x14ac:dyDescent="0.25">
      <c r="G150" s="64">
        <f>ROUND(Source!AC38*Source!I38, 2)+ROUND(Source!AF38*Source!I38, 2)+ROUND((((Source!ET38)-(Source!EU38))+Source!AE38)*Source!I38, 2)+SUM(H147:H148)</f>
        <v>377.29999999999995</v>
      </c>
      <c r="H150" s="64"/>
      <c r="J150" s="64">
        <f>Source!O38+SUM(K147:K148)</f>
        <v>12059.78</v>
      </c>
      <c r="K150" s="64"/>
      <c r="L150" s="34">
        <f>Source!U38</f>
        <v>16</v>
      </c>
      <c r="O150" s="33">
        <f>G150</f>
        <v>377.29999999999995</v>
      </c>
      <c r="P150" s="33">
        <f>J150</f>
        <v>12059.78</v>
      </c>
      <c r="Q150" s="33">
        <f>L150</f>
        <v>16</v>
      </c>
      <c r="W150">
        <f>IF(Source!BI38&lt;=1,G150, 0)</f>
        <v>0</v>
      </c>
      <c r="X150">
        <f>IF(Source!BI38=2,G150, 0)</f>
        <v>377.29999999999995</v>
      </c>
      <c r="Y150">
        <f>IF(Source!BI38=3,G150, 0)</f>
        <v>0</v>
      </c>
      <c r="Z150">
        <f>IF(Source!BI38=4,G150, 0)</f>
        <v>0</v>
      </c>
    </row>
    <row r="151" spans="1:26" ht="156.75" x14ac:dyDescent="0.2">
      <c r="A151" s="23" t="str">
        <f>Source!E39</f>
        <v>16</v>
      </c>
      <c r="B151" s="24" t="str">
        <f>Source!F39</f>
        <v>04-01-077-9</v>
      </c>
      <c r="C151" s="22" t="str">
        <f>Source!G39</f>
        <v>Бурение с предварительным расширением скважины длиной 50 м машиной горизонтального бурения прессово-шнековой с усилием продавливания 203 ТС (2000кН) фирмы SHMIDT, KRANZ-GRUPPE трехступенчатым методом с одновременным продавливанием отрезков (длиной по 4 м), сваренных между собой стальных трубопроводов диаметром 325 мм</v>
      </c>
      <c r="D151" s="25" t="str">
        <f>Source!H39</f>
        <v>100 м бурения скважины</v>
      </c>
      <c r="E151" s="10">
        <f>Source!I39</f>
        <v>0.78</v>
      </c>
      <c r="F151" s="27">
        <f>IF(Source!AK39&lt;&gt; 0, Source!AK39,Source!AL39 + Source!AM39 + Source!AO39)</f>
        <v>44636.72</v>
      </c>
      <c r="G151" s="26"/>
      <c r="H151" s="27"/>
      <c r="I151" s="26" t="str">
        <f>Source!BO39</f>
        <v>04-01-077-9</v>
      </c>
      <c r="J151" s="26"/>
      <c r="K151" s="27"/>
      <c r="L151" s="28"/>
      <c r="S151">
        <f>ROUND((Source!FX39/100)*((ROUND(Source!AF39*Source!I39, 2)+ROUND(Source!AE39*Source!I39, 2))), 2)</f>
        <v>1360.98</v>
      </c>
      <c r="T151">
        <f>Source!X39</f>
        <v>44245.43</v>
      </c>
      <c r="U151">
        <f>ROUND((Source!FY39/100)*((ROUND(Source!AF39*Source!I39, 2)+ROUND(Source!AE39*Source!I39, 2))), 2)</f>
        <v>577.77</v>
      </c>
      <c r="V151">
        <f>Source!Y39</f>
        <v>18783.439999999999</v>
      </c>
    </row>
    <row r="152" spans="1:26" x14ac:dyDescent="0.2">
      <c r="C152" s="29" t="str">
        <f>"Объем: "&amp;Source!I39&amp;"=78/"&amp;"100"</f>
        <v>Объем: 0,78=78/100</v>
      </c>
    </row>
    <row r="153" spans="1:26" ht="14.25" x14ac:dyDescent="0.2">
      <c r="A153" s="23"/>
      <c r="B153" s="24"/>
      <c r="C153" s="22" t="s">
        <v>515</v>
      </c>
      <c r="D153" s="25"/>
      <c r="E153" s="10"/>
      <c r="F153" s="27">
        <f>Source!AO39</f>
        <v>786.87</v>
      </c>
      <c r="G153" s="26" t="str">
        <f>Source!DG39</f>
        <v/>
      </c>
      <c r="H153" s="27">
        <f>ROUND(Source!AF39*Source!I39, 2)</f>
        <v>613.76</v>
      </c>
      <c r="I153" s="26"/>
      <c r="J153" s="26">
        <f>IF(Source!BA39&lt;&gt; 0, Source!BA39, 1)</f>
        <v>32.51</v>
      </c>
      <c r="K153" s="27">
        <f>Source!S39</f>
        <v>19953.29</v>
      </c>
      <c r="L153" s="28"/>
      <c r="R153">
        <f>H153</f>
        <v>613.76</v>
      </c>
    </row>
    <row r="154" spans="1:26" ht="14.25" x14ac:dyDescent="0.2">
      <c r="A154" s="23"/>
      <c r="B154" s="24"/>
      <c r="C154" s="22" t="s">
        <v>203</v>
      </c>
      <c r="D154" s="25"/>
      <c r="E154" s="10"/>
      <c r="F154" s="27">
        <f>Source!AM39</f>
        <v>43314.11</v>
      </c>
      <c r="G154" s="26" t="str">
        <f>Source!DE39</f>
        <v/>
      </c>
      <c r="H154" s="27">
        <f>ROUND((((Source!ET39)-(Source!EU39))+Source!AE39)*Source!I39, 2)</f>
        <v>33785.01</v>
      </c>
      <c r="I154" s="26"/>
      <c r="J154" s="26">
        <f>IF(Source!BB39&lt;&gt; 0, Source!BB39, 1)</f>
        <v>6.33</v>
      </c>
      <c r="K154" s="27">
        <f>Source!Q39</f>
        <v>213859.09</v>
      </c>
      <c r="L154" s="28"/>
    </row>
    <row r="155" spans="1:26" ht="14.25" x14ac:dyDescent="0.2">
      <c r="A155" s="23"/>
      <c r="B155" s="24"/>
      <c r="C155" s="22" t="s">
        <v>516</v>
      </c>
      <c r="D155" s="25"/>
      <c r="E155" s="10"/>
      <c r="F155" s="27">
        <f>Source!AN39</f>
        <v>859.21</v>
      </c>
      <c r="G155" s="26" t="str">
        <f>Source!DF39</f>
        <v/>
      </c>
      <c r="H155" s="27">
        <f>ROUND(Source!AE39*Source!I39, 2)</f>
        <v>670.18</v>
      </c>
      <c r="I155" s="26"/>
      <c r="J155" s="26">
        <f>IF(Source!BS39&lt;&gt; 0, Source!BS39, 1)</f>
        <v>32.51</v>
      </c>
      <c r="K155" s="27">
        <f>Source!R39</f>
        <v>21787.68</v>
      </c>
      <c r="L155" s="28"/>
      <c r="R155">
        <f>H155</f>
        <v>670.18</v>
      </c>
    </row>
    <row r="156" spans="1:26" ht="14.25" x14ac:dyDescent="0.2">
      <c r="A156" s="23"/>
      <c r="B156" s="24"/>
      <c r="C156" s="22" t="s">
        <v>517</v>
      </c>
      <c r="D156" s="25" t="s">
        <v>518</v>
      </c>
      <c r="E156" s="10">
        <f>Source!BZ39</f>
        <v>106</v>
      </c>
      <c r="F156" s="30"/>
      <c r="G156" s="26"/>
      <c r="H156" s="27">
        <f>SUM(S151:S158)</f>
        <v>1360.98</v>
      </c>
      <c r="I156" s="31"/>
      <c r="J156" s="22">
        <f>Source!AT39</f>
        <v>106</v>
      </c>
      <c r="K156" s="27">
        <f>SUM(T151:T158)</f>
        <v>44245.43</v>
      </c>
      <c r="L156" s="28"/>
    </row>
    <row r="157" spans="1:26" ht="14.25" x14ac:dyDescent="0.2">
      <c r="A157" s="23"/>
      <c r="B157" s="24"/>
      <c r="C157" s="22" t="s">
        <v>519</v>
      </c>
      <c r="D157" s="25" t="s">
        <v>518</v>
      </c>
      <c r="E157" s="10">
        <f>Source!CA39</f>
        <v>45</v>
      </c>
      <c r="F157" s="30"/>
      <c r="G157" s="26"/>
      <c r="H157" s="27">
        <f>SUM(U151:U158)</f>
        <v>577.77</v>
      </c>
      <c r="I157" s="31"/>
      <c r="J157" s="22">
        <f>Source!AU39</f>
        <v>45</v>
      </c>
      <c r="K157" s="27">
        <f>SUM(V151:V158)</f>
        <v>18783.439999999999</v>
      </c>
      <c r="L157" s="28"/>
    </row>
    <row r="158" spans="1:26" ht="14.25" x14ac:dyDescent="0.2">
      <c r="A158" s="35"/>
      <c r="B158" s="36"/>
      <c r="C158" s="37" t="s">
        <v>520</v>
      </c>
      <c r="D158" s="38" t="s">
        <v>521</v>
      </c>
      <c r="E158" s="39">
        <f>Source!AQ39</f>
        <v>83.71</v>
      </c>
      <c r="F158" s="40"/>
      <c r="G158" s="41" t="str">
        <f>Source!DI39</f>
        <v/>
      </c>
      <c r="H158" s="40"/>
      <c r="I158" s="41"/>
      <c r="J158" s="41"/>
      <c r="K158" s="40"/>
      <c r="L158" s="42">
        <f>Source!U39</f>
        <v>65.29379999999999</v>
      </c>
    </row>
    <row r="159" spans="1:26" ht="15" x14ac:dyDescent="0.25">
      <c r="G159" s="64">
        <f>ROUND(Source!AC39*Source!I39, 2)+ROUND(Source!AF39*Source!I39, 2)+ROUND((((Source!ET39)-(Source!EU39))+Source!AE39)*Source!I39, 2)+SUM(H156:H157)</f>
        <v>36337.520000000004</v>
      </c>
      <c r="H159" s="64"/>
      <c r="J159" s="64">
        <f>Source!O39+SUM(K156:K157)</f>
        <v>296841.25</v>
      </c>
      <c r="K159" s="64"/>
      <c r="L159" s="34">
        <f>Source!U39</f>
        <v>65.29379999999999</v>
      </c>
      <c r="O159" s="33">
        <f>G159</f>
        <v>36337.520000000004</v>
      </c>
      <c r="P159" s="33">
        <f>J159</f>
        <v>296841.25</v>
      </c>
      <c r="Q159" s="33">
        <f>L159</f>
        <v>65.29379999999999</v>
      </c>
      <c r="W159">
        <f>IF(Source!BI39&lt;=1,G159, 0)</f>
        <v>36337.520000000004</v>
      </c>
      <c r="X159">
        <f>IF(Source!BI39=2,G159, 0)</f>
        <v>0</v>
      </c>
      <c r="Y159">
        <f>IF(Source!BI39=3,G159, 0)</f>
        <v>0</v>
      </c>
      <c r="Z159">
        <f>IF(Source!BI39=4,G159, 0)</f>
        <v>0</v>
      </c>
    </row>
    <row r="160" spans="1:26" ht="57" x14ac:dyDescent="0.2">
      <c r="A160" s="23" t="str">
        <f>Source!E43</f>
        <v>17</v>
      </c>
      <c r="B160" s="24" t="str">
        <f>Source!F43</f>
        <v>47-01-046-3</v>
      </c>
      <c r="C160" s="22" t="str">
        <f>Source!G43</f>
        <v>Подготовка почвы для устройства партерного и обыкновенного газона с внесением растительной земли слоем 15 см механизированным способом</v>
      </c>
      <c r="D160" s="25" t="str">
        <f>Source!H43</f>
        <v>100 м2</v>
      </c>
      <c r="E160" s="10">
        <f>Source!I43</f>
        <v>0.25</v>
      </c>
      <c r="F160" s="27">
        <f>IF(Source!AK43&lt;&gt; 0, Source!AK43,Source!AL43 + Source!AM43 + Source!AO43)</f>
        <v>2307.19</v>
      </c>
      <c r="G160" s="26"/>
      <c r="H160" s="27"/>
      <c r="I160" s="26" t="str">
        <f>Source!BO43</f>
        <v>47-01-046-3</v>
      </c>
      <c r="J160" s="26"/>
      <c r="K160" s="27"/>
      <c r="L160" s="28"/>
      <c r="S160">
        <f>ROUND((Source!FX43/100)*((ROUND(Source!AF43*Source!I43, 2)+ROUND(Source!AE43*Source!I43, 2))), 2)</f>
        <v>67.33</v>
      </c>
      <c r="T160">
        <f>Source!X43</f>
        <v>2189.02</v>
      </c>
      <c r="U160">
        <f>ROUND((Source!FY43/100)*((ROUND(Source!AF43*Source!I43, 2)+ROUND(Source!AE43*Source!I43, 2))), 2)</f>
        <v>47.07</v>
      </c>
      <c r="V160">
        <f>Source!Y43</f>
        <v>1530.19</v>
      </c>
    </row>
    <row r="161" spans="1:26" x14ac:dyDescent="0.2">
      <c r="C161" s="29" t="str">
        <f>"Объем: "&amp;Source!I43&amp;"=25/"&amp;"100"</f>
        <v>Объем: 0,25=25/100</v>
      </c>
    </row>
    <row r="162" spans="1:26" ht="14.25" x14ac:dyDescent="0.2">
      <c r="A162" s="23"/>
      <c r="B162" s="24"/>
      <c r="C162" s="22" t="s">
        <v>515</v>
      </c>
      <c r="D162" s="25"/>
      <c r="E162" s="10"/>
      <c r="F162" s="27">
        <f>Source!AO43</f>
        <v>260.64</v>
      </c>
      <c r="G162" s="26" t="str">
        <f>Source!DG43</f>
        <v/>
      </c>
      <c r="H162" s="27">
        <f>ROUND(Source!AF43*Source!I43, 2)</f>
        <v>65.16</v>
      </c>
      <c r="I162" s="26"/>
      <c r="J162" s="26">
        <f>IF(Source!BA43&lt;&gt; 0, Source!BA43, 1)</f>
        <v>32.51</v>
      </c>
      <c r="K162" s="27">
        <f>Source!S43</f>
        <v>2118.35</v>
      </c>
      <c r="L162" s="28"/>
      <c r="R162">
        <f>H162</f>
        <v>65.16</v>
      </c>
    </row>
    <row r="163" spans="1:26" ht="14.25" x14ac:dyDescent="0.2">
      <c r="A163" s="23"/>
      <c r="B163" s="24"/>
      <c r="C163" s="22" t="s">
        <v>203</v>
      </c>
      <c r="D163" s="25"/>
      <c r="E163" s="10"/>
      <c r="F163" s="27">
        <f>Source!AM43</f>
        <v>6.55</v>
      </c>
      <c r="G163" s="26" t="str">
        <f>Source!DE43</f>
        <v/>
      </c>
      <c r="H163" s="27">
        <f>ROUND((((Source!ET43)-(Source!EU43))+Source!AE43)*Source!I43, 2)</f>
        <v>1.64</v>
      </c>
      <c r="I163" s="26"/>
      <c r="J163" s="26">
        <f>IF(Source!BB43&lt;&gt; 0, Source!BB43, 1)</f>
        <v>11.59</v>
      </c>
      <c r="K163" s="27">
        <f>Source!Q43</f>
        <v>18.98</v>
      </c>
      <c r="L163" s="28"/>
    </row>
    <row r="164" spans="1:26" ht="14.25" x14ac:dyDescent="0.2">
      <c r="A164" s="23"/>
      <c r="B164" s="24"/>
      <c r="C164" s="22" t="s">
        <v>516</v>
      </c>
      <c r="D164" s="25"/>
      <c r="E164" s="10"/>
      <c r="F164" s="27">
        <f>Source!AN43</f>
        <v>0.85</v>
      </c>
      <c r="G164" s="26" t="str">
        <f>Source!DF43</f>
        <v/>
      </c>
      <c r="H164" s="27">
        <f>ROUND(Source!AE43*Source!I43, 2)</f>
        <v>0.21</v>
      </c>
      <c r="I164" s="26"/>
      <c r="J164" s="26">
        <f>IF(Source!BS43&lt;&gt; 0, Source!BS43, 1)</f>
        <v>32.51</v>
      </c>
      <c r="K164" s="27">
        <f>Source!R43</f>
        <v>6.91</v>
      </c>
      <c r="L164" s="28"/>
      <c r="R164">
        <f>H164</f>
        <v>0.21</v>
      </c>
    </row>
    <row r="165" spans="1:26" ht="14.25" x14ac:dyDescent="0.2">
      <c r="A165" s="23"/>
      <c r="B165" s="24"/>
      <c r="C165" s="22" t="s">
        <v>522</v>
      </c>
      <c r="D165" s="25"/>
      <c r="E165" s="10"/>
      <c r="F165" s="27">
        <f>Source!AL43</f>
        <v>2040</v>
      </c>
      <c r="G165" s="26" t="str">
        <f>Source!DD43</f>
        <v/>
      </c>
      <c r="H165" s="27">
        <f>ROUND(Source!AC43*Source!I43, 2)</f>
        <v>510</v>
      </c>
      <c r="I165" s="26"/>
      <c r="J165" s="26">
        <f>IF(Source!BC43&lt;&gt; 0, Source!BC43, 1)</f>
        <v>5.45</v>
      </c>
      <c r="K165" s="27">
        <f>Source!P43</f>
        <v>2779.5</v>
      </c>
      <c r="L165" s="28"/>
    </row>
    <row r="166" spans="1:26" ht="14.25" x14ac:dyDescent="0.2">
      <c r="A166" s="23"/>
      <c r="B166" s="24"/>
      <c r="C166" s="22" t="s">
        <v>517</v>
      </c>
      <c r="D166" s="25" t="s">
        <v>518</v>
      </c>
      <c r="E166" s="10">
        <f>Source!BZ43</f>
        <v>103</v>
      </c>
      <c r="F166" s="30"/>
      <c r="G166" s="26"/>
      <c r="H166" s="27">
        <f>SUM(S160:S168)</f>
        <v>67.33</v>
      </c>
      <c r="I166" s="31"/>
      <c r="J166" s="22">
        <f>Source!AT43</f>
        <v>103</v>
      </c>
      <c r="K166" s="27">
        <f>SUM(T160:T168)</f>
        <v>2189.02</v>
      </c>
      <c r="L166" s="28"/>
    </row>
    <row r="167" spans="1:26" ht="14.25" x14ac:dyDescent="0.2">
      <c r="A167" s="23"/>
      <c r="B167" s="24"/>
      <c r="C167" s="22" t="s">
        <v>519</v>
      </c>
      <c r="D167" s="25" t="s">
        <v>518</v>
      </c>
      <c r="E167" s="10">
        <f>Source!CA43</f>
        <v>72</v>
      </c>
      <c r="F167" s="30"/>
      <c r="G167" s="26"/>
      <c r="H167" s="27">
        <f>SUM(U160:U168)</f>
        <v>47.07</v>
      </c>
      <c r="I167" s="31"/>
      <c r="J167" s="22">
        <f>Source!AU43</f>
        <v>72</v>
      </c>
      <c r="K167" s="27">
        <f>SUM(V160:V168)</f>
        <v>1530.19</v>
      </c>
      <c r="L167" s="28"/>
    </row>
    <row r="168" spans="1:26" ht="14.25" x14ac:dyDescent="0.2">
      <c r="A168" s="35"/>
      <c r="B168" s="36"/>
      <c r="C168" s="37" t="s">
        <v>520</v>
      </c>
      <c r="D168" s="38" t="s">
        <v>521</v>
      </c>
      <c r="E168" s="39">
        <f>Source!AQ43</f>
        <v>35.08</v>
      </c>
      <c r="F168" s="40"/>
      <c r="G168" s="41" t="str">
        <f>Source!DI43</f>
        <v/>
      </c>
      <c r="H168" s="40"/>
      <c r="I168" s="41"/>
      <c r="J168" s="41"/>
      <c r="K168" s="40"/>
      <c r="L168" s="42">
        <f>Source!U43</f>
        <v>8.77</v>
      </c>
    </row>
    <row r="169" spans="1:26" ht="15" x14ac:dyDescent="0.25">
      <c r="G169" s="64">
        <f>ROUND(Source!AC43*Source!I43, 2)+ROUND(Source!AF43*Source!I43, 2)+ROUND((((Source!ET43)-(Source!EU43))+Source!AE43)*Source!I43, 2)+SUM(H166:H167)</f>
        <v>691.19999999999993</v>
      </c>
      <c r="H169" s="64"/>
      <c r="J169" s="64">
        <f>Source!O43+SUM(K166:K167)</f>
        <v>8636.0400000000009</v>
      </c>
      <c r="K169" s="64"/>
      <c r="L169" s="34">
        <f>Source!U43</f>
        <v>8.77</v>
      </c>
      <c r="O169" s="33">
        <f>G169</f>
        <v>691.19999999999993</v>
      </c>
      <c r="P169" s="33">
        <f>J169</f>
        <v>8636.0400000000009</v>
      </c>
      <c r="Q169" s="33">
        <f>L169</f>
        <v>8.77</v>
      </c>
      <c r="W169">
        <f>IF(Source!BI43&lt;=1,G169, 0)</f>
        <v>691.19999999999993</v>
      </c>
      <c r="X169">
        <f>IF(Source!BI43=2,G169, 0)</f>
        <v>0</v>
      </c>
      <c r="Y169">
        <f>IF(Source!BI43=3,G169, 0)</f>
        <v>0</v>
      </c>
      <c r="Z169">
        <f>IF(Source!BI43=4,G169, 0)</f>
        <v>0</v>
      </c>
    </row>
    <row r="170" spans="1:26" ht="28.5" x14ac:dyDescent="0.2">
      <c r="A170" s="23" t="str">
        <f>Source!E44</f>
        <v>18</v>
      </c>
      <c r="B170" s="24" t="str">
        <f>Source!F44</f>
        <v>47-01-046-6</v>
      </c>
      <c r="C170" s="22" t="str">
        <f>Source!G44</f>
        <v>Посев газонов партерных, мавританских и обыкновенных вручную</v>
      </c>
      <c r="D170" s="25" t="str">
        <f>Source!H44</f>
        <v>100 м2</v>
      </c>
      <c r="E170" s="10">
        <f>Source!I44</f>
        <v>0.25</v>
      </c>
      <c r="F170" s="27">
        <f>IF(Source!AK44&lt;&gt; 0, Source!AK44,Source!AL44 + Source!AM44 + Source!AO44)</f>
        <v>695.65</v>
      </c>
      <c r="G170" s="26"/>
      <c r="H170" s="27"/>
      <c r="I170" s="26" t="str">
        <f>Source!BO44</f>
        <v>47-01-046-6</v>
      </c>
      <c r="J170" s="26"/>
      <c r="K170" s="27"/>
      <c r="L170" s="28"/>
      <c r="S170">
        <f>ROUND((Source!FX44/100)*((ROUND(Source!AF44*Source!I44, 2)+ROUND(Source!AE44*Source!I44, 2))), 2)</f>
        <v>19.489999999999998</v>
      </c>
      <c r="T170">
        <f>Source!X44</f>
        <v>633.54</v>
      </c>
      <c r="U170">
        <f>ROUND((Source!FY44/100)*((ROUND(Source!AF44*Source!I44, 2)+ROUND(Source!AE44*Source!I44, 2))), 2)</f>
        <v>13.62</v>
      </c>
      <c r="V170">
        <f>Source!Y44</f>
        <v>442.86</v>
      </c>
    </row>
    <row r="171" spans="1:26" x14ac:dyDescent="0.2">
      <c r="C171" s="29" t="str">
        <f>"Объем: "&amp;Source!I44&amp;"=25/"&amp;"100"</f>
        <v>Объем: 0,25=25/100</v>
      </c>
    </row>
    <row r="172" spans="1:26" ht="14.25" x14ac:dyDescent="0.2">
      <c r="A172" s="23"/>
      <c r="B172" s="24"/>
      <c r="C172" s="22" t="s">
        <v>515</v>
      </c>
      <c r="D172" s="25"/>
      <c r="E172" s="10"/>
      <c r="F172" s="27">
        <f>Source!AO44</f>
        <v>47.32</v>
      </c>
      <c r="G172" s="26" t="str">
        <f>Source!DG44</f>
        <v/>
      </c>
      <c r="H172" s="27">
        <f>ROUND(Source!AF44*Source!I44, 2)</f>
        <v>11.83</v>
      </c>
      <c r="I172" s="26"/>
      <c r="J172" s="26">
        <f>IF(Source!BA44&lt;&gt; 0, Source!BA44, 1)</f>
        <v>32.51</v>
      </c>
      <c r="K172" s="27">
        <f>Source!S44</f>
        <v>384.59</v>
      </c>
      <c r="L172" s="28"/>
      <c r="R172">
        <f>H172</f>
        <v>11.83</v>
      </c>
    </row>
    <row r="173" spans="1:26" ht="14.25" x14ac:dyDescent="0.2">
      <c r="A173" s="23"/>
      <c r="B173" s="24"/>
      <c r="C173" s="22" t="s">
        <v>203</v>
      </c>
      <c r="D173" s="25"/>
      <c r="E173" s="10"/>
      <c r="F173" s="27">
        <f>Source!AM44</f>
        <v>326.75</v>
      </c>
      <c r="G173" s="26" t="str">
        <f>Source!DE44</f>
        <v/>
      </c>
      <c r="H173" s="27">
        <f>ROUND((((Source!ET44)-(Source!EU44))+Source!AE44)*Source!I44, 2)</f>
        <v>81.69</v>
      </c>
      <c r="I173" s="26"/>
      <c r="J173" s="26">
        <f>IF(Source!BB44&lt;&gt; 0, Source!BB44, 1)</f>
        <v>12.85</v>
      </c>
      <c r="K173" s="27">
        <f>Source!Q44</f>
        <v>1049.68</v>
      </c>
      <c r="L173" s="28"/>
    </row>
    <row r="174" spans="1:26" ht="14.25" x14ac:dyDescent="0.2">
      <c r="A174" s="23"/>
      <c r="B174" s="24"/>
      <c r="C174" s="22" t="s">
        <v>516</v>
      </c>
      <c r="D174" s="25"/>
      <c r="E174" s="10"/>
      <c r="F174" s="27">
        <f>Source!AN44</f>
        <v>28.36</v>
      </c>
      <c r="G174" s="26" t="str">
        <f>Source!DF44</f>
        <v/>
      </c>
      <c r="H174" s="27">
        <f>ROUND(Source!AE44*Source!I44, 2)</f>
        <v>7.09</v>
      </c>
      <c r="I174" s="26"/>
      <c r="J174" s="26">
        <f>IF(Source!BS44&lt;&gt; 0, Source!BS44, 1)</f>
        <v>32.51</v>
      </c>
      <c r="K174" s="27">
        <f>Source!R44</f>
        <v>230.5</v>
      </c>
      <c r="L174" s="28"/>
      <c r="R174">
        <f>H174</f>
        <v>7.09</v>
      </c>
    </row>
    <row r="175" spans="1:26" ht="14.25" x14ac:dyDescent="0.2">
      <c r="A175" s="23"/>
      <c r="B175" s="24"/>
      <c r="C175" s="22" t="s">
        <v>522</v>
      </c>
      <c r="D175" s="25"/>
      <c r="E175" s="10"/>
      <c r="F175" s="27">
        <f>Source!AL44</f>
        <v>321.58</v>
      </c>
      <c r="G175" s="26" t="str">
        <f>Source!DD44</f>
        <v/>
      </c>
      <c r="H175" s="27">
        <f>ROUND(Source!AC44*Source!I44, 2)</f>
        <v>80.400000000000006</v>
      </c>
      <c r="I175" s="26"/>
      <c r="J175" s="26">
        <f>IF(Source!BC44&lt;&gt; 0, Source!BC44, 1)</f>
        <v>3.41</v>
      </c>
      <c r="K175" s="27">
        <f>Source!P44</f>
        <v>274.14999999999998</v>
      </c>
      <c r="L175" s="28"/>
    </row>
    <row r="176" spans="1:26" ht="14.25" x14ac:dyDescent="0.2">
      <c r="A176" s="23"/>
      <c r="B176" s="24"/>
      <c r="C176" s="22" t="s">
        <v>517</v>
      </c>
      <c r="D176" s="25" t="s">
        <v>518</v>
      </c>
      <c r="E176" s="10">
        <f>Source!BZ44</f>
        <v>103</v>
      </c>
      <c r="F176" s="30"/>
      <c r="G176" s="26"/>
      <c r="H176" s="27">
        <f>SUM(S170:S179)</f>
        <v>19.489999999999998</v>
      </c>
      <c r="I176" s="31"/>
      <c r="J176" s="22">
        <f>Source!AT44</f>
        <v>103</v>
      </c>
      <c r="K176" s="27">
        <f>SUM(T170:T179)</f>
        <v>633.54</v>
      </c>
      <c r="L176" s="28"/>
    </row>
    <row r="177" spans="1:31" ht="14.25" x14ac:dyDescent="0.2">
      <c r="A177" s="23"/>
      <c r="B177" s="24"/>
      <c r="C177" s="22" t="s">
        <v>519</v>
      </c>
      <c r="D177" s="25" t="s">
        <v>518</v>
      </c>
      <c r="E177" s="10">
        <f>Source!CA44</f>
        <v>72</v>
      </c>
      <c r="F177" s="30"/>
      <c r="G177" s="26"/>
      <c r="H177" s="27">
        <f>SUM(U170:U179)</f>
        <v>13.62</v>
      </c>
      <c r="I177" s="31"/>
      <c r="J177" s="22">
        <f>Source!AU44</f>
        <v>72</v>
      </c>
      <c r="K177" s="27">
        <f>SUM(V170:V179)</f>
        <v>442.86</v>
      </c>
      <c r="L177" s="28"/>
    </row>
    <row r="178" spans="1:31" ht="14.25" x14ac:dyDescent="0.2">
      <c r="A178" s="23"/>
      <c r="B178" s="24"/>
      <c r="C178" s="22" t="s">
        <v>520</v>
      </c>
      <c r="D178" s="25" t="s">
        <v>521</v>
      </c>
      <c r="E178" s="10">
        <f>Source!AQ44</f>
        <v>5.99</v>
      </c>
      <c r="F178" s="27"/>
      <c r="G178" s="26" t="str">
        <f>Source!DI44</f>
        <v/>
      </c>
      <c r="H178" s="27"/>
      <c r="I178" s="26"/>
      <c r="J178" s="26"/>
      <c r="K178" s="27"/>
      <c r="L178" s="32">
        <f>Source!U44</f>
        <v>1.4975000000000001</v>
      </c>
    </row>
    <row r="179" spans="1:31" ht="28.5" x14ac:dyDescent="0.2">
      <c r="A179" s="46" t="str">
        <f>Source!E45</f>
        <v>18,1</v>
      </c>
      <c r="B179" s="46" t="str">
        <f>Source!F45</f>
        <v>414-0340</v>
      </c>
      <c r="C179" s="46" t="str">
        <f>Source!G45</f>
        <v>Газон УНИВЕРСАЛЬНЫЙ-АЛЬТЕРНАТИВНЫЙ</v>
      </c>
      <c r="D179" s="47" t="str">
        <f>Source!H45</f>
        <v>кг</v>
      </c>
      <c r="E179" s="48">
        <f>Source!I45</f>
        <v>20</v>
      </c>
      <c r="F179" s="49">
        <f>Source!AK45</f>
        <v>37.42</v>
      </c>
      <c r="G179" s="50" t="s">
        <v>3</v>
      </c>
      <c r="H179" s="49">
        <f>ROUND(Source!AC45*Source!I45, 2)+ROUND((((Source!ET45)-(Source!EU45))+Source!AE45)*Source!I45, 2)+ROUND(Source!AF45*Source!I45, 2)</f>
        <v>748.4</v>
      </c>
      <c r="I179" s="47"/>
      <c r="J179" s="47">
        <f>IF(Source!BC45&lt;&gt; 0, Source!BC45, 1)</f>
        <v>7.01</v>
      </c>
      <c r="K179" s="49">
        <f>Source!O45</f>
        <v>5246.28</v>
      </c>
      <c r="L179" s="49"/>
      <c r="S179">
        <f>ROUND((Source!FX45/100)*((ROUND(Source!AF45*Source!I45, 2)+ROUND(Source!AE45*Source!I45, 2))), 2)</f>
        <v>0</v>
      </c>
      <c r="T179">
        <f>Source!X45</f>
        <v>0</v>
      </c>
      <c r="U179">
        <f>ROUND((Source!FY45/100)*((ROUND(Source!AF45*Source!I45, 2)+ROUND(Source!AE45*Source!I45, 2))), 2)</f>
        <v>0</v>
      </c>
      <c r="V179">
        <f>Source!Y45</f>
        <v>0</v>
      </c>
      <c r="Y179">
        <f>IF(Source!BI45=3,H179, 0)</f>
        <v>0</v>
      </c>
      <c r="AA179">
        <f>ROUND(Source!AC45*Source!I45, 2)+ROUND((((Source!ET45)-(Source!EU45))+Source!AE45)*Source!I45, 2)+ROUND(Source!AF45*Source!I45, 2)</f>
        <v>748.4</v>
      </c>
      <c r="AB179">
        <f>Source!O45</f>
        <v>5246.28</v>
      </c>
    </row>
    <row r="180" spans="1:31" ht="15" x14ac:dyDescent="0.25">
      <c r="G180" s="64">
        <f>ROUND(Source!AC44*Source!I44, 2)+ROUND(Source!AF44*Source!I44, 2)+ROUND((((Source!ET44)-(Source!EU44))+Source!AE44)*Source!I44, 2)+SUM(H176:H177)+SUM(AA179:AA179)</f>
        <v>955.43000000000006</v>
      </c>
      <c r="H180" s="64"/>
      <c r="J180" s="64">
        <f>Source!O44+SUM(K176:K177)+SUM(AB179:AB179)</f>
        <v>8031.1</v>
      </c>
      <c r="K180" s="64"/>
      <c r="L180" s="34">
        <f>Source!U44</f>
        <v>1.4975000000000001</v>
      </c>
      <c r="O180" s="33">
        <f>G180</f>
        <v>955.43000000000006</v>
      </c>
      <c r="P180" s="33">
        <f>J180</f>
        <v>8031.1</v>
      </c>
      <c r="Q180" s="33">
        <f>L180</f>
        <v>1.4975000000000001</v>
      </c>
      <c r="W180">
        <f>IF(Source!BI44&lt;=1,G180, 0)</f>
        <v>955.43000000000006</v>
      </c>
      <c r="X180">
        <f>IF(Source!BI44=2,G180, 0)</f>
        <v>0</v>
      </c>
      <c r="Y180">
        <f>IF(Source!BI44=3,G180, 0)</f>
        <v>0</v>
      </c>
      <c r="Z180">
        <f>IF(Source!BI44=4,G180, 0)</f>
        <v>0</v>
      </c>
    </row>
    <row r="182" spans="1:31" ht="16.5" x14ac:dyDescent="0.25">
      <c r="A182" s="66" t="str">
        <f>CONCATENATE("Раздел: ", Source!G47)</f>
        <v>Раздел: Материалы</v>
      </c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AE182" s="51" t="str">
        <f>CONCATENATE("Раздел: ", Source!G47)</f>
        <v>Раздел: Материалы</v>
      </c>
    </row>
    <row r="183" spans="1:31" ht="42.75" x14ac:dyDescent="0.2">
      <c r="A183" s="23" t="str">
        <f>Source!E51</f>
        <v>19</v>
      </c>
      <c r="B183" s="24" t="str">
        <f>Source!F51</f>
        <v>Материал Подрядчика</v>
      </c>
      <c r="C183" s="22" t="s">
        <v>523</v>
      </c>
      <c r="D183" s="25" t="str">
        <f>Source!H51</f>
        <v>м</v>
      </c>
      <c r="E183" s="10">
        <f>Source!I51</f>
        <v>231</v>
      </c>
      <c r="F183" s="27">
        <f>IF(Source!AK51&lt;&gt; 0, Source!AK51,Source!AL51 + Source!AM51 + Source!AO51)</f>
        <v>1443.99</v>
      </c>
      <c r="G183" s="26"/>
      <c r="H183" s="27"/>
      <c r="I183" s="26" t="str">
        <f>Source!BO51</f>
        <v/>
      </c>
      <c r="J183" s="26"/>
      <c r="K183" s="27"/>
      <c r="L183" s="28"/>
      <c r="S183">
        <f>ROUND((Source!FX51/100)*((ROUND(Source!AF51*Source!I51, 2)+ROUND(Source!AE51*Source!I51, 2))), 2)</f>
        <v>0</v>
      </c>
      <c r="T183">
        <f>Source!X51</f>
        <v>0</v>
      </c>
      <c r="U183">
        <f>ROUND((Source!FY51/100)*((ROUND(Source!AF51*Source!I51, 2)+ROUND(Source!AE51*Source!I51, 2))), 2)</f>
        <v>0</v>
      </c>
      <c r="V183">
        <f>Source!Y51</f>
        <v>0</v>
      </c>
    </row>
    <row r="184" spans="1:31" ht="14.25" x14ac:dyDescent="0.2">
      <c r="A184" s="35"/>
      <c r="B184" s="36"/>
      <c r="C184" s="37" t="s">
        <v>522</v>
      </c>
      <c r="D184" s="38"/>
      <c r="E184" s="39"/>
      <c r="F184" s="40">
        <f>Source!AL51</f>
        <v>1443.99</v>
      </c>
      <c r="G184" s="41" t="str">
        <f>Source!DD51</f>
        <v/>
      </c>
      <c r="H184" s="40">
        <f>ROUND(Source!AC51*Source!I51, 2)</f>
        <v>333561.69</v>
      </c>
      <c r="I184" s="41"/>
      <c r="J184" s="41">
        <f>IF(Source!BC51&lt;&gt; 0, Source!BC51, 1)</f>
        <v>1</v>
      </c>
      <c r="K184" s="40">
        <f>Source!P51</f>
        <v>333561.69</v>
      </c>
      <c r="L184" s="45"/>
    </row>
    <row r="185" spans="1:31" ht="15" x14ac:dyDescent="0.25">
      <c r="G185" s="64">
        <f>ROUND(Source!AC51*Source!I51, 2)+ROUND(Source!AF51*Source!I51, 2)+ROUND((((Source!ET51)-(Source!EU51))+Source!AE51)*Source!I51, 2)</f>
        <v>333561.69</v>
      </c>
      <c r="H185" s="64"/>
      <c r="J185" s="64">
        <f>Source!O51</f>
        <v>333561.69</v>
      </c>
      <c r="K185" s="64"/>
      <c r="L185" s="34">
        <f>Source!U51</f>
        <v>0</v>
      </c>
      <c r="O185" s="33">
        <f>G185</f>
        <v>333561.69</v>
      </c>
      <c r="P185" s="33">
        <f>J185</f>
        <v>333561.69</v>
      </c>
      <c r="Q185" s="33">
        <f>L185</f>
        <v>0</v>
      </c>
      <c r="W185">
        <f>IF(Source!BI51&lt;=1,G185, 0)</f>
        <v>333561.69</v>
      </c>
      <c r="X185">
        <f>IF(Source!BI51=2,G185, 0)</f>
        <v>0</v>
      </c>
      <c r="Y185">
        <f>IF(Source!BI51=3,G185, 0)</f>
        <v>0</v>
      </c>
      <c r="Z185">
        <f>IF(Source!BI51=4,G185, 0)</f>
        <v>0</v>
      </c>
    </row>
    <row r="186" spans="1:31" ht="112.5" x14ac:dyDescent="0.2">
      <c r="A186" s="23" t="str">
        <f>Source!E52</f>
        <v>20</v>
      </c>
      <c r="B186" s="24" t="str">
        <f>Source!F52</f>
        <v>Материал Подрядчика</v>
      </c>
      <c r="C186" s="22" t="s">
        <v>524</v>
      </c>
      <c r="D186" s="25" t="str">
        <f>Source!H52</f>
        <v>шт.</v>
      </c>
      <c r="E186" s="10">
        <f>Source!I52</f>
        <v>4</v>
      </c>
      <c r="F186" s="27">
        <f>IF(Source!AK52&lt;&gt; 0, Source!AK52,Source!AL52 + Source!AM52 + Source!AO52)</f>
        <v>2011.46</v>
      </c>
      <c r="G186" s="26"/>
      <c r="H186" s="27"/>
      <c r="I186" s="26" t="str">
        <f>Source!BO52</f>
        <v/>
      </c>
      <c r="J186" s="26"/>
      <c r="K186" s="27"/>
      <c r="L186" s="28"/>
      <c r="S186">
        <f>ROUND((Source!FX52/100)*((ROUND(Source!AF52*Source!I52, 2)+ROUND(Source!AE52*Source!I52, 2))), 2)</f>
        <v>0</v>
      </c>
      <c r="T186">
        <f>Source!X52</f>
        <v>0</v>
      </c>
      <c r="U186">
        <f>ROUND((Source!FY52/100)*((ROUND(Source!AF52*Source!I52, 2)+ROUND(Source!AE52*Source!I52, 2))), 2)</f>
        <v>0</v>
      </c>
      <c r="V186">
        <f>Source!Y52</f>
        <v>0</v>
      </c>
    </row>
    <row r="187" spans="1:31" ht="14.25" x14ac:dyDescent="0.2">
      <c r="A187" s="35"/>
      <c r="B187" s="36"/>
      <c r="C187" s="37" t="s">
        <v>522</v>
      </c>
      <c r="D187" s="38"/>
      <c r="E187" s="39"/>
      <c r="F187" s="40">
        <f>Source!AL52</f>
        <v>2011.46</v>
      </c>
      <c r="G187" s="41" t="str">
        <f>Source!DD52</f>
        <v/>
      </c>
      <c r="H187" s="40">
        <f>ROUND(Source!AC52*Source!I52, 2)</f>
        <v>8045.84</v>
      </c>
      <c r="I187" s="41"/>
      <c r="J187" s="41">
        <f>IF(Source!BC52&lt;&gt; 0, Source!BC52, 1)</f>
        <v>1</v>
      </c>
      <c r="K187" s="40">
        <f>Source!P52</f>
        <v>8045.84</v>
      </c>
      <c r="L187" s="45"/>
    </row>
    <row r="188" spans="1:31" ht="15" x14ac:dyDescent="0.25">
      <c r="G188" s="64">
        <f>ROUND(Source!AC52*Source!I52, 2)+ROUND(Source!AF52*Source!I52, 2)+ROUND((((Source!ET52)-(Source!EU52))+Source!AE52)*Source!I52, 2)</f>
        <v>8045.84</v>
      </c>
      <c r="H188" s="64"/>
      <c r="J188" s="64">
        <f>Source!O52</f>
        <v>8045.84</v>
      </c>
      <c r="K188" s="64"/>
      <c r="L188" s="34">
        <f>Source!U52</f>
        <v>0</v>
      </c>
      <c r="O188" s="33">
        <f>G188</f>
        <v>8045.84</v>
      </c>
      <c r="P188" s="33">
        <f>J188</f>
        <v>8045.84</v>
      </c>
      <c r="Q188" s="33">
        <f>L188</f>
        <v>0</v>
      </c>
      <c r="W188">
        <f>IF(Source!BI52&lt;=1,G188, 0)</f>
        <v>8045.84</v>
      </c>
      <c r="X188">
        <f>IF(Source!BI52=2,G188, 0)</f>
        <v>0</v>
      </c>
      <c r="Y188">
        <f>IF(Source!BI52=3,G188, 0)</f>
        <v>0</v>
      </c>
      <c r="Z188">
        <f>IF(Source!BI52=4,G188, 0)</f>
        <v>0</v>
      </c>
    </row>
    <row r="189" spans="1:31" ht="42.75" x14ac:dyDescent="0.2">
      <c r="A189" s="23" t="str">
        <f>Source!E53</f>
        <v>21</v>
      </c>
      <c r="B189" s="24" t="str">
        <f>Source!F53</f>
        <v>Материал Подрядчика</v>
      </c>
      <c r="C189" s="22" t="s">
        <v>525</v>
      </c>
      <c r="D189" s="25" t="str">
        <f>Source!H53</f>
        <v>м</v>
      </c>
      <c r="E189" s="10">
        <f>Source!I53</f>
        <v>16</v>
      </c>
      <c r="F189" s="27">
        <f>IF(Source!AK53&lt;&gt; 0, Source!AK53,Source!AL53 + Source!AM53 + Source!AO53)</f>
        <v>708.33</v>
      </c>
      <c r="G189" s="26"/>
      <c r="H189" s="27"/>
      <c r="I189" s="26" t="str">
        <f>Source!BO53</f>
        <v/>
      </c>
      <c r="J189" s="26"/>
      <c r="K189" s="27"/>
      <c r="L189" s="28"/>
      <c r="S189">
        <f>ROUND((Source!FX53/100)*((ROUND(Source!AF53*Source!I53, 2)+ROUND(Source!AE53*Source!I53, 2))), 2)</f>
        <v>0</v>
      </c>
      <c r="T189">
        <f>Source!X53</f>
        <v>0</v>
      </c>
      <c r="U189">
        <f>ROUND((Source!FY53/100)*((ROUND(Source!AF53*Source!I53, 2)+ROUND(Source!AE53*Source!I53, 2))), 2)</f>
        <v>0</v>
      </c>
      <c r="V189">
        <f>Source!Y53</f>
        <v>0</v>
      </c>
    </row>
    <row r="190" spans="1:31" ht="14.25" x14ac:dyDescent="0.2">
      <c r="A190" s="35"/>
      <c r="B190" s="36"/>
      <c r="C190" s="37" t="s">
        <v>522</v>
      </c>
      <c r="D190" s="38"/>
      <c r="E190" s="39"/>
      <c r="F190" s="40">
        <f>Source!AL53</f>
        <v>708.33</v>
      </c>
      <c r="G190" s="41" t="str">
        <f>Source!DD53</f>
        <v/>
      </c>
      <c r="H190" s="40">
        <f>ROUND(Source!AC53*Source!I53, 2)</f>
        <v>11333.28</v>
      </c>
      <c r="I190" s="41"/>
      <c r="J190" s="41">
        <f>IF(Source!BC53&lt;&gt; 0, Source!BC53, 1)</f>
        <v>1</v>
      </c>
      <c r="K190" s="40">
        <f>Source!P53</f>
        <v>11333.28</v>
      </c>
      <c r="L190" s="45"/>
    </row>
    <row r="191" spans="1:31" ht="15" x14ac:dyDescent="0.25">
      <c r="G191" s="64">
        <f>ROUND(Source!AC53*Source!I53, 2)+ROUND(Source!AF53*Source!I53, 2)+ROUND((((Source!ET53)-(Source!EU53))+Source!AE53)*Source!I53, 2)</f>
        <v>11333.28</v>
      </c>
      <c r="H191" s="64"/>
      <c r="J191" s="64">
        <f>Source!O53</f>
        <v>11333.28</v>
      </c>
      <c r="K191" s="64"/>
      <c r="L191" s="34">
        <f>Source!U53</f>
        <v>0</v>
      </c>
      <c r="O191" s="33">
        <f>G191</f>
        <v>11333.28</v>
      </c>
      <c r="P191" s="33">
        <f>J191</f>
        <v>11333.28</v>
      </c>
      <c r="Q191" s="33">
        <f>L191</f>
        <v>0</v>
      </c>
      <c r="W191">
        <f>IF(Source!BI53&lt;=1,G191, 0)</f>
        <v>11333.28</v>
      </c>
      <c r="X191">
        <f>IF(Source!BI53=2,G191, 0)</f>
        <v>0</v>
      </c>
      <c r="Y191">
        <f>IF(Source!BI53=3,G191, 0)</f>
        <v>0</v>
      </c>
      <c r="Z191">
        <f>IF(Source!BI53=4,G191, 0)</f>
        <v>0</v>
      </c>
    </row>
    <row r="192" spans="1:31" ht="42.75" x14ac:dyDescent="0.2">
      <c r="A192" s="23" t="str">
        <f>Source!E54</f>
        <v>22</v>
      </c>
      <c r="B192" s="24" t="str">
        <f>Source!F54</f>
        <v>Материал Подрядчика</v>
      </c>
      <c r="C192" s="22" t="s">
        <v>526</v>
      </c>
      <c r="D192" s="25" t="str">
        <f>Source!H54</f>
        <v>м</v>
      </c>
      <c r="E192" s="10">
        <f>Source!I54</f>
        <v>78</v>
      </c>
      <c r="F192" s="27">
        <f>IF(Source!AK54&lt;&gt; 0, Source!AK54,Source!AL54 + Source!AM54 + Source!AO54)</f>
        <v>845.83</v>
      </c>
      <c r="G192" s="26"/>
      <c r="H192" s="27"/>
      <c r="I192" s="26" t="str">
        <f>Source!BO54</f>
        <v/>
      </c>
      <c r="J192" s="26"/>
      <c r="K192" s="27"/>
      <c r="L192" s="28"/>
      <c r="S192">
        <f>ROUND((Source!FX54/100)*((ROUND(Source!AF54*Source!I54, 2)+ROUND(Source!AE54*Source!I54, 2))), 2)</f>
        <v>0</v>
      </c>
      <c r="T192">
        <f>Source!X54</f>
        <v>0</v>
      </c>
      <c r="U192">
        <f>ROUND((Source!FY54/100)*((ROUND(Source!AF54*Source!I54, 2)+ROUND(Source!AE54*Source!I54, 2))), 2)</f>
        <v>0</v>
      </c>
      <c r="V192">
        <f>Source!Y54</f>
        <v>0</v>
      </c>
    </row>
    <row r="193" spans="1:26" ht="14.25" x14ac:dyDescent="0.2">
      <c r="A193" s="35"/>
      <c r="B193" s="36"/>
      <c r="C193" s="37" t="s">
        <v>522</v>
      </c>
      <c r="D193" s="38"/>
      <c r="E193" s="39"/>
      <c r="F193" s="40">
        <f>Source!AL54</f>
        <v>845.83</v>
      </c>
      <c r="G193" s="41" t="str">
        <f>Source!DD54</f>
        <v/>
      </c>
      <c r="H193" s="40">
        <f>ROUND(Source!AC54*Source!I54, 2)</f>
        <v>65974.740000000005</v>
      </c>
      <c r="I193" s="41"/>
      <c r="J193" s="41">
        <f>IF(Source!BC54&lt;&gt; 0, Source!BC54, 1)</f>
        <v>1</v>
      </c>
      <c r="K193" s="40">
        <f>Source!P54</f>
        <v>65974.740000000005</v>
      </c>
      <c r="L193" s="45"/>
    </row>
    <row r="194" spans="1:26" ht="15" x14ac:dyDescent="0.25">
      <c r="G194" s="64">
        <f>ROUND(Source!AC54*Source!I54, 2)+ROUND(Source!AF54*Source!I54, 2)+ROUND((((Source!ET54)-(Source!EU54))+Source!AE54)*Source!I54, 2)</f>
        <v>65974.740000000005</v>
      </c>
      <c r="H194" s="64"/>
      <c r="J194" s="64">
        <f>Source!O54</f>
        <v>65974.740000000005</v>
      </c>
      <c r="K194" s="64"/>
      <c r="L194" s="34">
        <f>Source!U54</f>
        <v>0</v>
      </c>
      <c r="O194" s="33">
        <f>G194</f>
        <v>65974.740000000005</v>
      </c>
      <c r="P194" s="33">
        <f>J194</f>
        <v>65974.740000000005</v>
      </c>
      <c r="Q194" s="33">
        <f>L194</f>
        <v>0</v>
      </c>
      <c r="W194">
        <f>IF(Source!BI54&lt;=1,G194, 0)</f>
        <v>65974.740000000005</v>
      </c>
      <c r="X194">
        <f>IF(Source!BI54=2,G194, 0)</f>
        <v>0</v>
      </c>
      <c r="Y194">
        <f>IF(Source!BI54=3,G194, 0)</f>
        <v>0</v>
      </c>
      <c r="Z194">
        <f>IF(Source!BI54=4,G194, 0)</f>
        <v>0</v>
      </c>
    </row>
    <row r="195" spans="1:26" ht="55.5" x14ac:dyDescent="0.2">
      <c r="A195" s="23" t="str">
        <f>Source!E55</f>
        <v>23</v>
      </c>
      <c r="B195" s="24" t="str">
        <f>Source!F55</f>
        <v>Материал Подрядчика</v>
      </c>
      <c r="C195" s="22" t="s">
        <v>527</v>
      </c>
      <c r="D195" s="25" t="str">
        <f>Source!H55</f>
        <v>м</v>
      </c>
      <c r="E195" s="10">
        <f>Source!I55</f>
        <v>4</v>
      </c>
      <c r="F195" s="27">
        <f>IF(Source!AK55&lt;&gt; 0, Source!AK55,Source!AL55 + Source!AM55 + Source!AO55)</f>
        <v>237.5</v>
      </c>
      <c r="G195" s="26"/>
      <c r="H195" s="27"/>
      <c r="I195" s="26" t="str">
        <f>Source!BO55</f>
        <v/>
      </c>
      <c r="J195" s="26"/>
      <c r="K195" s="27"/>
      <c r="L195" s="28"/>
      <c r="S195">
        <f>ROUND((Source!FX55/100)*((ROUND(Source!AF55*Source!I55, 2)+ROUND(Source!AE55*Source!I55, 2))), 2)</f>
        <v>0</v>
      </c>
      <c r="T195">
        <f>Source!X55</f>
        <v>0</v>
      </c>
      <c r="U195">
        <f>ROUND((Source!FY55/100)*((ROUND(Source!AF55*Source!I55, 2)+ROUND(Source!AE55*Source!I55, 2))), 2)</f>
        <v>0</v>
      </c>
      <c r="V195">
        <f>Source!Y55</f>
        <v>0</v>
      </c>
    </row>
    <row r="196" spans="1:26" ht="14.25" x14ac:dyDescent="0.2">
      <c r="A196" s="35"/>
      <c r="B196" s="36"/>
      <c r="C196" s="37" t="s">
        <v>522</v>
      </c>
      <c r="D196" s="38"/>
      <c r="E196" s="39"/>
      <c r="F196" s="40">
        <f>Source!AL55</f>
        <v>237.5</v>
      </c>
      <c r="G196" s="41" t="str">
        <f>Source!DD55</f>
        <v/>
      </c>
      <c r="H196" s="40">
        <f>ROUND(Source!AC55*Source!I55, 2)</f>
        <v>950</v>
      </c>
      <c r="I196" s="41"/>
      <c r="J196" s="41">
        <f>IF(Source!BC55&lt;&gt; 0, Source!BC55, 1)</f>
        <v>1</v>
      </c>
      <c r="K196" s="40">
        <f>Source!P55</f>
        <v>950</v>
      </c>
      <c r="L196" s="45"/>
    </row>
    <row r="197" spans="1:26" ht="15" x14ac:dyDescent="0.25">
      <c r="G197" s="64">
        <f>ROUND(Source!AC55*Source!I55, 2)+ROUND(Source!AF55*Source!I55, 2)+ROUND((((Source!ET55)-(Source!EU55))+Source!AE55)*Source!I55, 2)</f>
        <v>950</v>
      </c>
      <c r="H197" s="64"/>
      <c r="J197" s="64">
        <f>Source!O55</f>
        <v>950</v>
      </c>
      <c r="K197" s="64"/>
      <c r="L197" s="34">
        <f>Source!U55</f>
        <v>0</v>
      </c>
      <c r="O197" s="33">
        <f>G197</f>
        <v>950</v>
      </c>
      <c r="P197" s="33">
        <f>J197</f>
        <v>950</v>
      </c>
      <c r="Q197" s="33">
        <f>L197</f>
        <v>0</v>
      </c>
      <c r="W197">
        <f>IF(Source!BI55&lt;=1,G197, 0)</f>
        <v>950</v>
      </c>
      <c r="X197">
        <f>IF(Source!BI55=2,G197, 0)</f>
        <v>0</v>
      </c>
      <c r="Y197">
        <f>IF(Source!BI55=3,G197, 0)</f>
        <v>0</v>
      </c>
      <c r="Z197">
        <f>IF(Source!BI55=4,G197, 0)</f>
        <v>0</v>
      </c>
    </row>
    <row r="198" spans="1:26" ht="42.75" x14ac:dyDescent="0.2">
      <c r="A198" s="23" t="str">
        <f>Source!E56</f>
        <v>24</v>
      </c>
      <c r="B198" s="24" t="str">
        <f>Source!F56</f>
        <v>Материал Подрядчика</v>
      </c>
      <c r="C198" s="22" t="s">
        <v>528</v>
      </c>
      <c r="D198" s="25" t="str">
        <f>Source!H56</f>
        <v>куб.м</v>
      </c>
      <c r="E198" s="10">
        <f>Source!I56</f>
        <v>4.5</v>
      </c>
      <c r="F198" s="27">
        <f>IF(Source!AK56&lt;&gt; 0, Source!AK56,Source!AL56 + Source!AM56 + Source!AO56)</f>
        <v>511.67</v>
      </c>
      <c r="G198" s="26"/>
      <c r="H198" s="27"/>
      <c r="I198" s="26" t="str">
        <f>Source!BO56</f>
        <v/>
      </c>
      <c r="J198" s="26"/>
      <c r="K198" s="27"/>
      <c r="L198" s="28"/>
      <c r="S198">
        <f>ROUND((Source!FX56/100)*((ROUND(Source!AF56*Source!I56, 2)+ROUND(Source!AE56*Source!I56, 2))), 2)</f>
        <v>0</v>
      </c>
      <c r="T198">
        <f>Source!X56</f>
        <v>0</v>
      </c>
      <c r="U198">
        <f>ROUND((Source!FY56/100)*((ROUND(Source!AF56*Source!I56, 2)+ROUND(Source!AE56*Source!I56, 2))), 2)</f>
        <v>0</v>
      </c>
      <c r="V198">
        <f>Source!Y56</f>
        <v>0</v>
      </c>
    </row>
    <row r="199" spans="1:26" ht="14.25" x14ac:dyDescent="0.2">
      <c r="A199" s="35"/>
      <c r="B199" s="36"/>
      <c r="C199" s="37" t="s">
        <v>522</v>
      </c>
      <c r="D199" s="38"/>
      <c r="E199" s="39"/>
      <c r="F199" s="40">
        <f>Source!AL56</f>
        <v>511.67</v>
      </c>
      <c r="G199" s="41" t="str">
        <f>Source!DD56</f>
        <v/>
      </c>
      <c r="H199" s="40">
        <f>ROUND(Source!AC56*Source!I56, 2)</f>
        <v>2302.52</v>
      </c>
      <c r="I199" s="41"/>
      <c r="J199" s="41">
        <f>IF(Source!BC56&lt;&gt; 0, Source!BC56, 1)</f>
        <v>1</v>
      </c>
      <c r="K199" s="40">
        <f>Source!P56</f>
        <v>2302.52</v>
      </c>
      <c r="L199" s="45"/>
    </row>
    <row r="200" spans="1:26" ht="15" x14ac:dyDescent="0.25">
      <c r="G200" s="64">
        <f>ROUND(Source!AC56*Source!I56, 2)+ROUND(Source!AF56*Source!I56, 2)+ROUND((((Source!ET56)-(Source!EU56))+Source!AE56)*Source!I56, 2)</f>
        <v>2302.52</v>
      </c>
      <c r="H200" s="64"/>
      <c r="J200" s="64">
        <f>Source!O56</f>
        <v>2302.52</v>
      </c>
      <c r="K200" s="64"/>
      <c r="L200" s="34">
        <f>Source!U56</f>
        <v>0</v>
      </c>
      <c r="O200" s="33">
        <f>G200</f>
        <v>2302.52</v>
      </c>
      <c r="P200" s="33">
        <f>J200</f>
        <v>2302.52</v>
      </c>
      <c r="Q200" s="33">
        <f>L200</f>
        <v>0</v>
      </c>
      <c r="W200">
        <f>IF(Source!BI56&lt;=1,G200, 0)</f>
        <v>2302.52</v>
      </c>
      <c r="X200">
        <f>IF(Source!BI56=2,G200, 0)</f>
        <v>0</v>
      </c>
      <c r="Y200">
        <f>IF(Source!BI56=3,G200, 0)</f>
        <v>0</v>
      </c>
      <c r="Z200">
        <f>IF(Source!BI56=4,G200, 0)</f>
        <v>0</v>
      </c>
    </row>
    <row r="201" spans="1:26" ht="42.75" x14ac:dyDescent="0.2">
      <c r="A201" s="23" t="str">
        <f>Source!E57</f>
        <v>25</v>
      </c>
      <c r="B201" s="24" t="str">
        <f>Source!F57</f>
        <v>Материал Подрядчика</v>
      </c>
      <c r="C201" s="22" t="s">
        <v>529</v>
      </c>
      <c r="D201" s="25" t="str">
        <f>Source!H57</f>
        <v>шт.</v>
      </c>
      <c r="E201" s="10">
        <f>Source!I57</f>
        <v>457</v>
      </c>
      <c r="F201" s="27">
        <f>IF(Source!AK57&lt;&gt; 0, Source!AK57,Source!AL57 + Source!AM57 + Source!AO57)</f>
        <v>14.58</v>
      </c>
      <c r="G201" s="26"/>
      <c r="H201" s="27"/>
      <c r="I201" s="26" t="str">
        <f>Source!BO57</f>
        <v/>
      </c>
      <c r="J201" s="26"/>
      <c r="K201" s="27"/>
      <c r="L201" s="28"/>
      <c r="S201">
        <f>ROUND((Source!FX57/100)*((ROUND(Source!AF57*Source!I57, 2)+ROUND(Source!AE57*Source!I57, 2))), 2)</f>
        <v>0</v>
      </c>
      <c r="T201">
        <f>Source!X57</f>
        <v>0</v>
      </c>
      <c r="U201">
        <f>ROUND((Source!FY57/100)*((ROUND(Source!AF57*Source!I57, 2)+ROUND(Source!AE57*Source!I57, 2))), 2)</f>
        <v>0</v>
      </c>
      <c r="V201">
        <f>Source!Y57</f>
        <v>0</v>
      </c>
    </row>
    <row r="202" spans="1:26" ht="14.25" x14ac:dyDescent="0.2">
      <c r="A202" s="35"/>
      <c r="B202" s="36"/>
      <c r="C202" s="37" t="s">
        <v>522</v>
      </c>
      <c r="D202" s="38"/>
      <c r="E202" s="39"/>
      <c r="F202" s="40">
        <f>Source!AL57</f>
        <v>14.58</v>
      </c>
      <c r="G202" s="41" t="str">
        <f>Source!DD57</f>
        <v/>
      </c>
      <c r="H202" s="40">
        <f>ROUND(Source!AC57*Source!I57, 2)</f>
        <v>6663.06</v>
      </c>
      <c r="I202" s="41"/>
      <c r="J202" s="41">
        <f>IF(Source!BC57&lt;&gt; 0, Source!BC57, 1)</f>
        <v>1</v>
      </c>
      <c r="K202" s="40">
        <f>Source!P57</f>
        <v>6663.06</v>
      </c>
      <c r="L202" s="45"/>
    </row>
    <row r="203" spans="1:26" ht="15" x14ac:dyDescent="0.25">
      <c r="G203" s="64">
        <f>ROUND(Source!AC57*Source!I57, 2)+ROUND(Source!AF57*Source!I57, 2)+ROUND((((Source!ET57)-(Source!EU57))+Source!AE57)*Source!I57, 2)</f>
        <v>6663.06</v>
      </c>
      <c r="H203" s="64"/>
      <c r="J203" s="64">
        <f>Source!O57</f>
        <v>6663.06</v>
      </c>
      <c r="K203" s="64"/>
      <c r="L203" s="34">
        <f>Source!U57</f>
        <v>0</v>
      </c>
      <c r="O203" s="33">
        <f>G203</f>
        <v>6663.06</v>
      </c>
      <c r="P203" s="33">
        <f>J203</f>
        <v>6663.06</v>
      </c>
      <c r="Q203" s="33">
        <f>L203</f>
        <v>0</v>
      </c>
      <c r="W203">
        <f>IF(Source!BI57&lt;=1,G203, 0)</f>
        <v>6663.06</v>
      </c>
      <c r="X203">
        <f>IF(Source!BI57=2,G203, 0)</f>
        <v>0</v>
      </c>
      <c r="Y203">
        <f>IF(Source!BI57=3,G203, 0)</f>
        <v>0</v>
      </c>
      <c r="Z203">
        <f>IF(Source!BI57=4,G203, 0)</f>
        <v>0</v>
      </c>
    </row>
    <row r="204" spans="1:26" ht="42.75" x14ac:dyDescent="0.2">
      <c r="A204" s="23" t="str">
        <f>Source!E58</f>
        <v>26</v>
      </c>
      <c r="B204" s="24" t="str">
        <f>Source!F58</f>
        <v>Материал Подрядчика</v>
      </c>
      <c r="C204" s="22" t="s">
        <v>530</v>
      </c>
      <c r="D204" s="25" t="str">
        <f>Source!H58</f>
        <v>шт.</v>
      </c>
      <c r="E204" s="10">
        <f>Source!I58</f>
        <v>8</v>
      </c>
      <c r="F204" s="27">
        <f>IF(Source!AK58&lt;&gt; 0, Source!AK58,Source!AL58 + Source!AM58 + Source!AO58)</f>
        <v>208.33</v>
      </c>
      <c r="G204" s="26"/>
      <c r="H204" s="27"/>
      <c r="I204" s="26" t="str">
        <f>Source!BO58</f>
        <v/>
      </c>
      <c r="J204" s="26"/>
      <c r="K204" s="27"/>
      <c r="L204" s="28"/>
      <c r="S204">
        <f>ROUND((Source!FX58/100)*((ROUND(Source!AF58*Source!I58, 2)+ROUND(Source!AE58*Source!I58, 2))), 2)</f>
        <v>0</v>
      </c>
      <c r="T204">
        <f>Source!X58</f>
        <v>0</v>
      </c>
      <c r="U204">
        <f>ROUND((Source!FY58/100)*((ROUND(Source!AF58*Source!I58, 2)+ROUND(Source!AE58*Source!I58, 2))), 2)</f>
        <v>0</v>
      </c>
      <c r="V204">
        <f>Source!Y58</f>
        <v>0</v>
      </c>
    </row>
    <row r="205" spans="1:26" ht="14.25" x14ac:dyDescent="0.2">
      <c r="A205" s="35"/>
      <c r="B205" s="36"/>
      <c r="C205" s="37" t="s">
        <v>522</v>
      </c>
      <c r="D205" s="38"/>
      <c r="E205" s="39"/>
      <c r="F205" s="40">
        <f>Source!AL58</f>
        <v>208.33</v>
      </c>
      <c r="G205" s="41" t="str">
        <f>Source!DD58</f>
        <v/>
      </c>
      <c r="H205" s="40">
        <f>ROUND(Source!AC58*Source!I58, 2)</f>
        <v>1666.64</v>
      </c>
      <c r="I205" s="41"/>
      <c r="J205" s="41">
        <f>IF(Source!BC58&lt;&gt; 0, Source!BC58, 1)</f>
        <v>1</v>
      </c>
      <c r="K205" s="40">
        <f>Source!P58</f>
        <v>1666.64</v>
      </c>
      <c r="L205" s="45"/>
    </row>
    <row r="206" spans="1:26" ht="15" x14ac:dyDescent="0.25">
      <c r="G206" s="64">
        <f>ROUND(Source!AC58*Source!I58, 2)+ROUND(Source!AF58*Source!I58, 2)+ROUND((((Source!ET58)-(Source!EU58))+Source!AE58)*Source!I58, 2)</f>
        <v>1666.64</v>
      </c>
      <c r="H206" s="64"/>
      <c r="J206" s="64">
        <f>Source!O58</f>
        <v>1666.64</v>
      </c>
      <c r="K206" s="64"/>
      <c r="L206" s="34">
        <f>Source!U58</f>
        <v>0</v>
      </c>
      <c r="O206" s="33">
        <f>G206</f>
        <v>1666.64</v>
      </c>
      <c r="P206" s="33">
        <f>J206</f>
        <v>1666.64</v>
      </c>
      <c r="Q206" s="33">
        <f>L206</f>
        <v>0</v>
      </c>
      <c r="W206">
        <f>IF(Source!BI58&lt;=1,G206, 0)</f>
        <v>1666.64</v>
      </c>
      <c r="X206">
        <f>IF(Source!BI58=2,G206, 0)</f>
        <v>0</v>
      </c>
      <c r="Y206">
        <f>IF(Source!BI58=3,G206, 0)</f>
        <v>0</v>
      </c>
      <c r="Z206">
        <f>IF(Source!BI58=4,G206, 0)</f>
        <v>0</v>
      </c>
    </row>
    <row r="207" spans="1:26" ht="42.75" x14ac:dyDescent="0.2">
      <c r="A207" s="23" t="str">
        <f>Source!E59</f>
        <v>27</v>
      </c>
      <c r="B207" s="24" t="str">
        <f>Source!F59</f>
        <v>Материал Подрядчика</v>
      </c>
      <c r="C207" s="22" t="s">
        <v>531</v>
      </c>
      <c r="D207" s="25" t="str">
        <f>Source!H59</f>
        <v>шт.</v>
      </c>
      <c r="E207" s="10">
        <f>Source!I59</f>
        <v>24</v>
      </c>
      <c r="F207" s="27">
        <f>IF(Source!AK59&lt;&gt; 0, Source!AK59,Source!AL59 + Source!AM59 + Source!AO59)</f>
        <v>360.83</v>
      </c>
      <c r="G207" s="26"/>
      <c r="H207" s="27"/>
      <c r="I207" s="26" t="str">
        <f>Source!BO59</f>
        <v/>
      </c>
      <c r="J207" s="26"/>
      <c r="K207" s="27"/>
      <c r="L207" s="28"/>
      <c r="S207">
        <f>ROUND((Source!FX59/100)*((ROUND(Source!AF59*Source!I59, 2)+ROUND(Source!AE59*Source!I59, 2))), 2)</f>
        <v>0</v>
      </c>
      <c r="T207">
        <f>Source!X59</f>
        <v>0</v>
      </c>
      <c r="U207">
        <f>ROUND((Source!FY59/100)*((ROUND(Source!AF59*Source!I59, 2)+ROUND(Source!AE59*Source!I59, 2))), 2)</f>
        <v>0</v>
      </c>
      <c r="V207">
        <f>Source!Y59</f>
        <v>0</v>
      </c>
    </row>
    <row r="208" spans="1:26" ht="14.25" x14ac:dyDescent="0.2">
      <c r="A208" s="35"/>
      <c r="B208" s="36"/>
      <c r="C208" s="37" t="s">
        <v>522</v>
      </c>
      <c r="D208" s="38"/>
      <c r="E208" s="39"/>
      <c r="F208" s="40">
        <f>Source!AL59</f>
        <v>360.83</v>
      </c>
      <c r="G208" s="41" t="str">
        <f>Source!DD59</f>
        <v/>
      </c>
      <c r="H208" s="40">
        <f>ROUND(Source!AC59*Source!I59, 2)</f>
        <v>8659.92</v>
      </c>
      <c r="I208" s="41"/>
      <c r="J208" s="41">
        <f>IF(Source!BC59&lt;&gt; 0, Source!BC59, 1)</f>
        <v>1</v>
      </c>
      <c r="K208" s="40">
        <f>Source!P59</f>
        <v>8659.92</v>
      </c>
      <c r="L208" s="45"/>
    </row>
    <row r="209" spans="1:39" ht="15" x14ac:dyDescent="0.25">
      <c r="G209" s="64">
        <f>ROUND(Source!AC59*Source!I59, 2)+ROUND(Source!AF59*Source!I59, 2)+ROUND((((Source!ET59)-(Source!EU59))+Source!AE59)*Source!I59, 2)</f>
        <v>8659.92</v>
      </c>
      <c r="H209" s="64"/>
      <c r="J209" s="64">
        <f>Source!O59</f>
        <v>8659.92</v>
      </c>
      <c r="K209" s="64"/>
      <c r="L209" s="34">
        <f>Source!U59</f>
        <v>0</v>
      </c>
      <c r="O209" s="33">
        <f>G209</f>
        <v>8659.92</v>
      </c>
      <c r="P209" s="33">
        <f>J209</f>
        <v>8659.92</v>
      </c>
      <c r="Q209" s="33">
        <f>L209</f>
        <v>0</v>
      </c>
      <c r="W209">
        <f>IF(Source!BI59&lt;=1,G209, 0)</f>
        <v>8659.92</v>
      </c>
      <c r="X209">
        <f>IF(Source!BI59=2,G209, 0)</f>
        <v>0</v>
      </c>
      <c r="Y209">
        <f>IF(Source!BI59=3,G209, 0)</f>
        <v>0</v>
      </c>
      <c r="Z209">
        <f>IF(Source!BI59=4,G209, 0)</f>
        <v>0</v>
      </c>
    </row>
    <row r="210" spans="1:39" ht="42.75" x14ac:dyDescent="0.2">
      <c r="A210" s="23" t="str">
        <f>Source!E60</f>
        <v>28</v>
      </c>
      <c r="B210" s="24" t="str">
        <f>Source!F60</f>
        <v>Материал Подрядчика</v>
      </c>
      <c r="C210" s="22" t="s">
        <v>532</v>
      </c>
      <c r="D210" s="25" t="str">
        <f>Source!H60</f>
        <v>т</v>
      </c>
      <c r="E210" s="10">
        <f>Source!I60</f>
        <v>0.01</v>
      </c>
      <c r="F210" s="27">
        <f>IF(Source!AK60&lt;&gt; 0, Source!AK60,Source!AL60 + Source!AM60 + Source!AO60)</f>
        <v>66666.67</v>
      </c>
      <c r="G210" s="26"/>
      <c r="H210" s="27"/>
      <c r="I210" s="26" t="str">
        <f>Source!BO60</f>
        <v/>
      </c>
      <c r="J210" s="26"/>
      <c r="K210" s="27"/>
      <c r="L210" s="28"/>
      <c r="S210">
        <f>ROUND((Source!FX60/100)*((ROUND(Source!AF60*Source!I60, 2)+ROUND(Source!AE60*Source!I60, 2))), 2)</f>
        <v>0</v>
      </c>
      <c r="T210">
        <f>Source!X60</f>
        <v>0</v>
      </c>
      <c r="U210">
        <f>ROUND((Source!FY60/100)*((ROUND(Source!AF60*Source!I60, 2)+ROUND(Source!AE60*Source!I60, 2))), 2)</f>
        <v>0</v>
      </c>
      <c r="V210">
        <f>Source!Y60</f>
        <v>0</v>
      </c>
    </row>
    <row r="211" spans="1:39" ht="14.25" x14ac:dyDescent="0.2">
      <c r="A211" s="35"/>
      <c r="B211" s="36"/>
      <c r="C211" s="37" t="s">
        <v>522</v>
      </c>
      <c r="D211" s="38"/>
      <c r="E211" s="39"/>
      <c r="F211" s="40">
        <f>Source!AL60</f>
        <v>66666.67</v>
      </c>
      <c r="G211" s="41" t="str">
        <f>Source!DD60</f>
        <v/>
      </c>
      <c r="H211" s="40">
        <f>ROUND(Source!AC60*Source!I60, 2)</f>
        <v>666.67</v>
      </c>
      <c r="I211" s="41"/>
      <c r="J211" s="41">
        <f>IF(Source!BC60&lt;&gt; 0, Source!BC60, 1)</f>
        <v>1</v>
      </c>
      <c r="K211" s="40">
        <f>Source!P60</f>
        <v>666.67</v>
      </c>
      <c r="L211" s="45"/>
    </row>
    <row r="212" spans="1:39" ht="15" x14ac:dyDescent="0.25">
      <c r="G212" s="64">
        <f>ROUND(Source!AC60*Source!I60, 2)+ROUND(Source!AF60*Source!I60, 2)+ROUND((((Source!ET60)-(Source!EU60))+Source!AE60)*Source!I60, 2)</f>
        <v>666.67</v>
      </c>
      <c r="H212" s="64"/>
      <c r="J212" s="64">
        <f>Source!O60</f>
        <v>666.67</v>
      </c>
      <c r="K212" s="64"/>
      <c r="L212" s="34">
        <f>Source!U60</f>
        <v>0</v>
      </c>
      <c r="O212" s="33">
        <f>G212</f>
        <v>666.67</v>
      </c>
      <c r="P212" s="33">
        <f>J212</f>
        <v>666.67</v>
      </c>
      <c r="Q212" s="33">
        <f>L212</f>
        <v>0</v>
      </c>
      <c r="W212">
        <f>IF(Source!BI60&lt;=1,G212, 0)</f>
        <v>666.67</v>
      </c>
      <c r="X212">
        <f>IF(Source!BI60=2,G212, 0)</f>
        <v>0</v>
      </c>
      <c r="Y212">
        <f>IF(Source!BI60=3,G212, 0)</f>
        <v>0</v>
      </c>
      <c r="Z212">
        <f>IF(Source!BI60=4,G212, 0)</f>
        <v>0</v>
      </c>
    </row>
    <row r="214" spans="1:39" ht="15" x14ac:dyDescent="0.25">
      <c r="A214" s="63" t="str">
        <f>CONCATENATE("Итого по разделу: ", Source!G62)</f>
        <v>Итого по разделу: Материалы</v>
      </c>
      <c r="B214" s="63"/>
      <c r="C214" s="63"/>
      <c r="D214" s="63"/>
      <c r="E214" s="63"/>
      <c r="F214" s="63"/>
      <c r="G214" s="64">
        <f>SUM(O182:O213)</f>
        <v>439824.36000000004</v>
      </c>
      <c r="H214" s="65"/>
      <c r="I214" s="52"/>
      <c r="J214" s="64">
        <f>SUM(P182:P213)</f>
        <v>439824.36000000004</v>
      </c>
      <c r="K214" s="65"/>
      <c r="L214" s="34">
        <f>SUM(Q182:Q213)</f>
        <v>0</v>
      </c>
      <c r="AG214" s="53" t="str">
        <f>CONCATENATE("Итого по разделу: ", Source!G62)</f>
        <v>Итого по разделу: Материалы</v>
      </c>
    </row>
    <row r="216" spans="1:39" ht="14.25" x14ac:dyDescent="0.2">
      <c r="C216" s="22" t="str">
        <f>Source!H91</f>
        <v>ОЗП</v>
      </c>
      <c r="J216" s="62">
        <f>Source!F91</f>
        <v>0</v>
      </c>
      <c r="K216" s="62"/>
    </row>
    <row r="217" spans="1:39" ht="14.25" x14ac:dyDescent="0.2">
      <c r="C217" s="22" t="str">
        <f>Source!H92</f>
        <v>ЭММ, в т.ч. ЗПМ</v>
      </c>
      <c r="J217" s="62">
        <f>Source!F92</f>
        <v>0</v>
      </c>
      <c r="K217" s="62"/>
    </row>
    <row r="218" spans="1:39" ht="14.25" x14ac:dyDescent="0.2">
      <c r="C218" s="22" t="str">
        <f>Source!H93</f>
        <v>Стоимость материалов</v>
      </c>
      <c r="J218" s="62">
        <f>Source!F93</f>
        <v>439824.36</v>
      </c>
      <c r="K218" s="62"/>
    </row>
    <row r="219" spans="1:39" ht="14.25" x14ac:dyDescent="0.2">
      <c r="C219" s="22" t="str">
        <f>Source!H94</f>
        <v>НР</v>
      </c>
      <c r="J219" s="62">
        <f>Source!F94</f>
        <v>0</v>
      </c>
      <c r="K219" s="62"/>
    </row>
    <row r="220" spans="1:39" ht="14.25" x14ac:dyDescent="0.2">
      <c r="C220" s="22" t="str">
        <f>Source!H95</f>
        <v>СП</v>
      </c>
      <c r="J220" s="62">
        <f>Source!F95</f>
        <v>0</v>
      </c>
      <c r="K220" s="62"/>
    </row>
    <row r="221" spans="1:39" ht="14.25" x14ac:dyDescent="0.2">
      <c r="C221" s="22" t="str">
        <f>Source!H96</f>
        <v>Всего</v>
      </c>
      <c r="D221" s="60" t="str">
        <f>"="&amp;Source!F91&amp;"+"&amp;""&amp;Source!F92&amp;"+"&amp;""&amp;Source!F93&amp;"+"&amp;""&amp;Source!F94&amp;"+"&amp;""&amp;Source!F95&amp;""</f>
        <v>=0+0+439824,36+0+0</v>
      </c>
      <c r="E221" s="61"/>
      <c r="F221" s="61"/>
      <c r="G221" s="61"/>
      <c r="H221" s="61"/>
      <c r="I221" s="61"/>
      <c r="J221" s="62">
        <f>Source!F96</f>
        <v>439824.36</v>
      </c>
      <c r="K221" s="62"/>
      <c r="AM221" s="54" t="str">
        <f>"="&amp;Source!F91&amp;"+"&amp;""&amp;Source!F92&amp;"+"&amp;""&amp;Source!F93&amp;"+"&amp;""&amp;Source!F94&amp;"+"&amp;""&amp;Source!F95&amp;""</f>
        <v>=0+0+439824,36+0+0</v>
      </c>
    </row>
    <row r="222" spans="1:39" ht="14.25" x14ac:dyDescent="0.2">
      <c r="C222" s="22" t="str">
        <f>Source!H97</f>
        <v>НДС 20%</v>
      </c>
      <c r="D222" s="60" t="str">
        <f>"="&amp;Source!F96&amp;"*"&amp;"0,2"</f>
        <v>=439824,36*0,2</v>
      </c>
      <c r="E222" s="61"/>
      <c r="F222" s="61"/>
      <c r="G222" s="61"/>
      <c r="H222" s="61"/>
      <c r="I222" s="61"/>
      <c r="J222" s="62">
        <f>Source!F97</f>
        <v>87964.87</v>
      </c>
      <c r="K222" s="62"/>
      <c r="AM222" s="54" t="str">
        <f>"="&amp;Source!F96&amp;"*"&amp;"0,2"</f>
        <v>=439824,36*0,2</v>
      </c>
    </row>
    <row r="223" spans="1:39" ht="14.25" x14ac:dyDescent="0.2">
      <c r="C223" s="22" t="str">
        <f>Source!H98</f>
        <v>Итого с НДС</v>
      </c>
      <c r="D223" s="60" t="str">
        <f>"="&amp;Source!F96&amp;"+"&amp;""&amp;Source!F97&amp;""</f>
        <v>=439824,36+87964,87</v>
      </c>
      <c r="E223" s="61"/>
      <c r="F223" s="61"/>
      <c r="G223" s="61"/>
      <c r="H223" s="61"/>
      <c r="I223" s="61"/>
      <c r="J223" s="62">
        <f>Source!F98</f>
        <v>527789.23</v>
      </c>
      <c r="K223" s="62"/>
      <c r="AM223" s="54" t="str">
        <f>"="&amp;Source!F96&amp;"+"&amp;""&amp;Source!F97&amp;""</f>
        <v>=439824,36+87964,87</v>
      </c>
    </row>
    <row r="226" spans="1:39" ht="15" x14ac:dyDescent="0.25">
      <c r="A226" s="63" t="str">
        <f>CONCATENATE("Итого по локальной смете: ", Source!G100)</f>
        <v>Итого по локальной смете: Новая локальная смета</v>
      </c>
      <c r="B226" s="63"/>
      <c r="C226" s="63"/>
      <c r="D226" s="63"/>
      <c r="E226" s="63"/>
      <c r="F226" s="63"/>
      <c r="G226" s="64">
        <f>SUM(O33:O225)</f>
        <v>482632.03</v>
      </c>
      <c r="H226" s="65"/>
      <c r="I226" s="52"/>
      <c r="J226" s="64">
        <f>SUM(P33:P225)</f>
        <v>880690.90000000014</v>
      </c>
      <c r="K226" s="65"/>
      <c r="L226" s="34">
        <f>SUM(Q33:Q225)</f>
        <v>224.83074999999999</v>
      </c>
      <c r="AG226" s="53" t="str">
        <f>CONCATENATE("Итого по локальной смете: ", Source!G100)</f>
        <v>Итого по локальной смете: Новая локальная смета</v>
      </c>
    </row>
    <row r="228" spans="1:39" ht="14.25" x14ac:dyDescent="0.2">
      <c r="C228" s="22" t="str">
        <f>Source!H129</f>
        <v>ОЗП</v>
      </c>
      <c r="J228" s="62">
        <f>Source!F129</f>
        <v>65260.97</v>
      </c>
      <c r="K228" s="62"/>
    </row>
    <row r="229" spans="1:39" ht="14.25" x14ac:dyDescent="0.2">
      <c r="C229" s="22" t="str">
        <f>Source!H130</f>
        <v>ЭММ, в т.ч. ЗПМ</v>
      </c>
      <c r="J229" s="62">
        <f>Source!F130</f>
        <v>232787.4</v>
      </c>
      <c r="K229" s="62"/>
    </row>
    <row r="230" spans="1:39" ht="14.25" x14ac:dyDescent="0.2">
      <c r="C230" s="22" t="str">
        <f>Source!H131</f>
        <v>Стоимость материалов</v>
      </c>
      <c r="J230" s="62">
        <f>Source!F131</f>
        <v>448124.29</v>
      </c>
      <c r="K230" s="62"/>
    </row>
    <row r="231" spans="1:39" ht="14.25" x14ac:dyDescent="0.2">
      <c r="C231" s="22" t="str">
        <f>Source!H132</f>
        <v>НР</v>
      </c>
      <c r="J231" s="62">
        <f>Source!F132</f>
        <v>90922.75</v>
      </c>
      <c r="K231" s="62"/>
    </row>
    <row r="232" spans="1:39" ht="14.25" x14ac:dyDescent="0.2">
      <c r="C232" s="22" t="str">
        <f>Source!H133</f>
        <v>СП</v>
      </c>
      <c r="J232" s="62">
        <f>Source!F133</f>
        <v>43595.49</v>
      </c>
      <c r="K232" s="62"/>
    </row>
    <row r="233" spans="1:39" ht="14.25" x14ac:dyDescent="0.2">
      <c r="C233" s="22" t="str">
        <f>Source!H134</f>
        <v>Всего</v>
      </c>
      <c r="D233" s="60" t="str">
        <f>"="&amp;Source!F129&amp;"+"&amp;""&amp;Source!F130&amp;"+"&amp;""&amp;Source!F131&amp;"+"&amp;""&amp;Source!F132&amp;"+"&amp;""&amp;Source!F133&amp;""</f>
        <v>=65260,97+232787,4+448124,29+90922,75+43595,49</v>
      </c>
      <c r="E233" s="61"/>
      <c r="F233" s="61"/>
      <c r="G233" s="61"/>
      <c r="H233" s="61"/>
      <c r="I233" s="61"/>
      <c r="J233" s="62">
        <f>Source!F134</f>
        <v>880690.9</v>
      </c>
      <c r="K233" s="62"/>
      <c r="AM233" s="54" t="str">
        <f>"="&amp;Source!F129&amp;"+"&amp;""&amp;Source!F130&amp;"+"&amp;""&amp;Source!F131&amp;"+"&amp;""&amp;Source!F132&amp;"+"&amp;""&amp;Source!F133&amp;""</f>
        <v>=65260,97+232787,4+448124,29+90922,75+43595,49</v>
      </c>
    </row>
    <row r="234" spans="1:39" ht="14.25" x14ac:dyDescent="0.2">
      <c r="C234" s="22" t="str">
        <f>Source!H135</f>
        <v>НДС 20%</v>
      </c>
      <c r="D234" s="60" t="str">
        <f>"="&amp;Source!F134&amp;"*"&amp;"0,2"</f>
        <v>=880690,9*0,2</v>
      </c>
      <c r="E234" s="61"/>
      <c r="F234" s="61"/>
      <c r="G234" s="61"/>
      <c r="H234" s="61"/>
      <c r="I234" s="61"/>
      <c r="J234" s="62">
        <f>Source!F135</f>
        <v>176138.18</v>
      </c>
      <c r="K234" s="62"/>
      <c r="AM234" s="54" t="str">
        <f>"="&amp;Source!F134&amp;"*"&amp;"0,2"</f>
        <v>=880690,9*0,2</v>
      </c>
    </row>
    <row r="235" spans="1:39" ht="14.25" x14ac:dyDescent="0.2">
      <c r="C235" s="22" t="str">
        <f>Source!H136</f>
        <v>Итого с НДС</v>
      </c>
      <c r="D235" s="60" t="str">
        <f>"="&amp;Source!F134&amp;"+"&amp;""&amp;Source!F135&amp;""</f>
        <v>=880690,9+176138,18</v>
      </c>
      <c r="E235" s="61"/>
      <c r="F235" s="61"/>
      <c r="G235" s="61"/>
      <c r="H235" s="61"/>
      <c r="I235" s="61"/>
      <c r="J235" s="62">
        <f>Source!F136</f>
        <v>1056829.08</v>
      </c>
      <c r="K235" s="62"/>
      <c r="AM235" s="54" t="str">
        <f>"="&amp;Source!F134&amp;"+"&amp;""&amp;Source!F135&amp;""</f>
        <v>=880690,9+176138,18</v>
      </c>
    </row>
    <row r="238" spans="1:39" ht="45" x14ac:dyDescent="0.25">
      <c r="A238" s="63" t="str">
        <f>CONCATENATE("Итого по смете: ", Source!G138)</f>
        <v>Итого по смете: 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B238" s="63"/>
      <c r="C238" s="63"/>
      <c r="D238" s="63"/>
      <c r="E238" s="63"/>
      <c r="F238" s="63"/>
      <c r="G238" s="64">
        <f>SUM(O1:O237)</f>
        <v>482632.03</v>
      </c>
      <c r="H238" s="65"/>
      <c r="I238" s="52"/>
      <c r="J238" s="64">
        <f>SUM(P1:P237)</f>
        <v>880690.90000000014</v>
      </c>
      <c r="K238" s="65"/>
      <c r="L238" s="34">
        <f>SUM(Q1:Q237)</f>
        <v>224.83074999999999</v>
      </c>
      <c r="AG238" s="53" t="str">
        <f>CONCATENATE("Итого по смете: ", Source!G138)</f>
        <v>Итого по смете: 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</row>
    <row r="240" spans="1:39" ht="14.25" x14ac:dyDescent="0.2">
      <c r="C240" s="22" t="str">
        <f>Source!H167</f>
        <v>ОЗП</v>
      </c>
      <c r="J240" s="62">
        <f>Source!F167</f>
        <v>65260.97</v>
      </c>
      <c r="K240" s="62"/>
    </row>
    <row r="241" spans="1:39" ht="14.25" x14ac:dyDescent="0.2">
      <c r="C241" s="22" t="str">
        <f>Source!H168</f>
        <v>ЭММ, в т.ч. ЗПМ</v>
      </c>
      <c r="J241" s="62">
        <f>Source!F168</f>
        <v>232787.4</v>
      </c>
      <c r="K241" s="62"/>
    </row>
    <row r="242" spans="1:39" ht="14.25" x14ac:dyDescent="0.2">
      <c r="C242" s="22" t="str">
        <f>Source!H169</f>
        <v>Стоимость материалов</v>
      </c>
      <c r="J242" s="62">
        <f>Source!F169</f>
        <v>448124.29</v>
      </c>
      <c r="K242" s="62"/>
    </row>
    <row r="243" spans="1:39" ht="14.25" x14ac:dyDescent="0.2">
      <c r="C243" s="22" t="str">
        <f>Source!H170</f>
        <v>НР</v>
      </c>
      <c r="J243" s="62">
        <f>Source!F170</f>
        <v>90922.75</v>
      </c>
      <c r="K243" s="62"/>
    </row>
    <row r="244" spans="1:39" ht="14.25" x14ac:dyDescent="0.2">
      <c r="C244" s="22" t="str">
        <f>Source!H171</f>
        <v>СП</v>
      </c>
      <c r="J244" s="62">
        <f>Source!F171</f>
        <v>43595.49</v>
      </c>
      <c r="K244" s="62"/>
    </row>
    <row r="245" spans="1:39" ht="14.25" x14ac:dyDescent="0.2">
      <c r="C245" s="22" t="str">
        <f>Source!H172</f>
        <v>Всего</v>
      </c>
      <c r="D245" s="60" t="str">
        <f>"="&amp;Source!F167&amp;"+"&amp;""&amp;Source!F168&amp;"+"&amp;""&amp;Source!F169&amp;"+"&amp;""&amp;Source!F170&amp;"+"&amp;""&amp;Source!F171&amp;""</f>
        <v>=65260,97+232787,4+448124,29+90922,75+43595,49</v>
      </c>
      <c r="E245" s="61"/>
      <c r="F245" s="61"/>
      <c r="G245" s="61"/>
      <c r="H245" s="61"/>
      <c r="I245" s="61"/>
      <c r="J245" s="62">
        <f>Source!F172</f>
        <v>880690.9</v>
      </c>
      <c r="K245" s="62"/>
      <c r="AM245" s="54" t="str">
        <f>"="&amp;Source!F167&amp;"+"&amp;""&amp;Source!F168&amp;"+"&amp;""&amp;Source!F169&amp;"+"&amp;""&amp;Source!F170&amp;"+"&amp;""&amp;Source!F171&amp;""</f>
        <v>=65260,97+232787,4+448124,29+90922,75+43595,49</v>
      </c>
    </row>
    <row r="246" spans="1:39" ht="14.25" x14ac:dyDescent="0.2">
      <c r="C246" s="22" t="str">
        <f>Source!H173</f>
        <v>НДС 20%</v>
      </c>
      <c r="D246" s="60" t="str">
        <f>"="&amp;Source!F172&amp;"*"&amp;"0,2"</f>
        <v>=880690,9*0,2</v>
      </c>
      <c r="E246" s="61"/>
      <c r="F246" s="61"/>
      <c r="G246" s="61"/>
      <c r="H246" s="61"/>
      <c r="I246" s="61"/>
      <c r="J246" s="62">
        <f>Source!F173</f>
        <v>176138.18</v>
      </c>
      <c r="K246" s="62"/>
      <c r="AM246" s="54" t="str">
        <f>"="&amp;Source!F172&amp;"*"&amp;"0,2"</f>
        <v>=880690,9*0,2</v>
      </c>
    </row>
    <row r="247" spans="1:39" ht="14.25" x14ac:dyDescent="0.2">
      <c r="C247" s="22" t="str">
        <f>Source!H174</f>
        <v>Итого с НДС</v>
      </c>
      <c r="D247" s="60" t="str">
        <f>"="&amp;Source!F172&amp;"+"&amp;""&amp;Source!F173&amp;""</f>
        <v>=880690,9+176138,18</v>
      </c>
      <c r="E247" s="61"/>
      <c r="F247" s="61"/>
      <c r="G247" s="61"/>
      <c r="H247" s="61"/>
      <c r="I247" s="61"/>
      <c r="J247" s="62">
        <f>Source!F174</f>
        <v>1056829.08</v>
      </c>
      <c r="K247" s="62"/>
      <c r="AM247" s="54" t="str">
        <f>"="&amp;Source!F172&amp;"+"&amp;""&amp;Source!F173&amp;""</f>
        <v>=880690,9+176138,18</v>
      </c>
    </row>
    <row r="251" spans="1:39" ht="14.25" x14ac:dyDescent="0.2">
      <c r="A251" s="58" t="s">
        <v>533</v>
      </c>
      <c r="B251" s="58"/>
      <c r="C251" s="55" t="s">
        <v>541</v>
      </c>
      <c r="D251" s="11"/>
      <c r="E251" s="55"/>
      <c r="F251" s="55"/>
      <c r="G251" s="11"/>
      <c r="H251" s="55" t="str">
        <f>IF(Source!AB12&lt;&gt;"", Source!AB12," ")</f>
        <v xml:space="preserve"> </v>
      </c>
      <c r="I251" s="55" t="s">
        <v>542</v>
      </c>
      <c r="J251" s="55"/>
      <c r="K251" s="55"/>
      <c r="L251" s="11"/>
    </row>
    <row r="252" spans="1:39" ht="14.25" x14ac:dyDescent="0.2">
      <c r="A252" s="11"/>
      <c r="B252" s="11"/>
      <c r="C252" s="56" t="s">
        <v>534</v>
      </c>
      <c r="D252" s="11"/>
      <c r="E252" s="59" t="s">
        <v>535</v>
      </c>
      <c r="F252" s="59"/>
      <c r="G252" s="11"/>
      <c r="H252" s="59" t="s">
        <v>536</v>
      </c>
      <c r="I252" s="59"/>
      <c r="J252" s="59"/>
      <c r="K252" s="59"/>
      <c r="L252" s="11"/>
    </row>
    <row r="253" spans="1:39" ht="14.25" x14ac:dyDescent="0.2">
      <c r="A253" s="11"/>
      <c r="B253" s="10"/>
      <c r="C253" s="11"/>
      <c r="D253" s="10"/>
      <c r="E253" s="11" t="s">
        <v>537</v>
      </c>
      <c r="F253" s="11"/>
      <c r="G253" s="11"/>
      <c r="H253" s="11"/>
      <c r="I253" s="11"/>
      <c r="J253" s="11"/>
      <c r="K253" s="11"/>
      <c r="L253" s="11"/>
    </row>
    <row r="254" spans="1:39" ht="14.25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</row>
  </sheetData>
  <mergeCells count="145">
    <mergeCell ref="B7:E7"/>
    <mergeCell ref="H7:L7"/>
    <mergeCell ref="B3:E3"/>
    <mergeCell ref="H3:L3"/>
    <mergeCell ref="B4:E4"/>
    <mergeCell ref="H4:L4"/>
    <mergeCell ref="B6:E6"/>
    <mergeCell ref="H6:L6"/>
    <mergeCell ref="C22:F22"/>
    <mergeCell ref="G22:H22"/>
    <mergeCell ref="I22:J22"/>
    <mergeCell ref="K22:L22"/>
    <mergeCell ref="C23:F23"/>
    <mergeCell ref="G23:H23"/>
    <mergeCell ref="I23:J23"/>
    <mergeCell ref="K23:L23"/>
    <mergeCell ref="B12:K12"/>
    <mergeCell ref="B15:K15"/>
    <mergeCell ref="B16:K16"/>
    <mergeCell ref="A18:L18"/>
    <mergeCell ref="G21:H21"/>
    <mergeCell ref="I21:J21"/>
    <mergeCell ref="C26:F26"/>
    <mergeCell ref="G26:H26"/>
    <mergeCell ref="I26:J26"/>
    <mergeCell ref="K26:L26"/>
    <mergeCell ref="C27:F27"/>
    <mergeCell ref="G27:H27"/>
    <mergeCell ref="I27:J27"/>
    <mergeCell ref="K27:L27"/>
    <mergeCell ref="C24:F24"/>
    <mergeCell ref="G24:H24"/>
    <mergeCell ref="I24:J24"/>
    <mergeCell ref="K24:L24"/>
    <mergeCell ref="C25:F25"/>
    <mergeCell ref="G25:H25"/>
    <mergeCell ref="I25:J25"/>
    <mergeCell ref="K25:L25"/>
    <mergeCell ref="G48:H48"/>
    <mergeCell ref="J48:K48"/>
    <mergeCell ref="G55:H55"/>
    <mergeCell ref="J55:K55"/>
    <mergeCell ref="G62:H62"/>
    <mergeCell ref="J62:K62"/>
    <mergeCell ref="C28:F28"/>
    <mergeCell ref="G28:H28"/>
    <mergeCell ref="I28:J28"/>
    <mergeCell ref="K28:L28"/>
    <mergeCell ref="A30:L30"/>
    <mergeCell ref="G41:H41"/>
    <mergeCell ref="J41:K41"/>
    <mergeCell ref="G91:H91"/>
    <mergeCell ref="J91:K91"/>
    <mergeCell ref="G99:H99"/>
    <mergeCell ref="J99:K99"/>
    <mergeCell ref="G108:H108"/>
    <mergeCell ref="J108:K108"/>
    <mergeCell ref="G68:H68"/>
    <mergeCell ref="J68:K68"/>
    <mergeCell ref="G74:H74"/>
    <mergeCell ref="J74:K74"/>
    <mergeCell ref="G83:H83"/>
    <mergeCell ref="J83:K83"/>
    <mergeCell ref="G141:H141"/>
    <mergeCell ref="J141:K141"/>
    <mergeCell ref="G150:H150"/>
    <mergeCell ref="J150:K150"/>
    <mergeCell ref="G159:H159"/>
    <mergeCell ref="J159:K159"/>
    <mergeCell ref="G117:H117"/>
    <mergeCell ref="J117:K117"/>
    <mergeCell ref="G126:H126"/>
    <mergeCell ref="J126:K126"/>
    <mergeCell ref="G135:H135"/>
    <mergeCell ref="J135:K135"/>
    <mergeCell ref="G188:H188"/>
    <mergeCell ref="J188:K188"/>
    <mergeCell ref="G191:H191"/>
    <mergeCell ref="J191:K191"/>
    <mergeCell ref="G194:H194"/>
    <mergeCell ref="J194:K194"/>
    <mergeCell ref="G169:H169"/>
    <mergeCell ref="J169:K169"/>
    <mergeCell ref="G180:H180"/>
    <mergeCell ref="J180:K180"/>
    <mergeCell ref="A182:L182"/>
    <mergeCell ref="G185:H185"/>
    <mergeCell ref="J185:K185"/>
    <mergeCell ref="G206:H206"/>
    <mergeCell ref="J206:K206"/>
    <mergeCell ref="G209:H209"/>
    <mergeCell ref="J209:K209"/>
    <mergeCell ref="G212:H212"/>
    <mergeCell ref="J212:K212"/>
    <mergeCell ref="G197:H197"/>
    <mergeCell ref="J197:K197"/>
    <mergeCell ref="G200:H200"/>
    <mergeCell ref="J200:K200"/>
    <mergeCell ref="G203:H203"/>
    <mergeCell ref="J203:K203"/>
    <mergeCell ref="J219:K219"/>
    <mergeCell ref="J220:K220"/>
    <mergeCell ref="D221:I221"/>
    <mergeCell ref="J221:K221"/>
    <mergeCell ref="D222:I222"/>
    <mergeCell ref="J222:K222"/>
    <mergeCell ref="A214:F214"/>
    <mergeCell ref="J214:K214"/>
    <mergeCell ref="G214:H214"/>
    <mergeCell ref="J216:K216"/>
    <mergeCell ref="J217:K217"/>
    <mergeCell ref="J218:K218"/>
    <mergeCell ref="J229:K229"/>
    <mergeCell ref="J230:K230"/>
    <mergeCell ref="J231:K231"/>
    <mergeCell ref="J232:K232"/>
    <mergeCell ref="D233:I233"/>
    <mergeCell ref="J233:K233"/>
    <mergeCell ref="D223:I223"/>
    <mergeCell ref="J223:K223"/>
    <mergeCell ref="A226:F226"/>
    <mergeCell ref="J226:K226"/>
    <mergeCell ref="G226:H226"/>
    <mergeCell ref="J228:K228"/>
    <mergeCell ref="J240:K240"/>
    <mergeCell ref="J241:K241"/>
    <mergeCell ref="J242:K242"/>
    <mergeCell ref="J243:K243"/>
    <mergeCell ref="J244:K244"/>
    <mergeCell ref="D245:I245"/>
    <mergeCell ref="J245:K245"/>
    <mergeCell ref="D234:I234"/>
    <mergeCell ref="J234:K234"/>
    <mergeCell ref="D235:I235"/>
    <mergeCell ref="J235:K235"/>
    <mergeCell ref="A238:F238"/>
    <mergeCell ref="J238:K238"/>
    <mergeCell ref="G238:H238"/>
    <mergeCell ref="D246:I246"/>
    <mergeCell ref="J246:K246"/>
    <mergeCell ref="D247:I247"/>
    <mergeCell ref="J247:K247"/>
    <mergeCell ref="A251:B251"/>
    <mergeCell ref="E252:F252"/>
    <mergeCell ref="H252:K252"/>
  </mergeCells>
  <pageMargins left="0.4" right="0.2" top="0.2" bottom="0.4" header="0.2" footer="0.2"/>
  <pageSetup paperSize="9" scale="58" orientation="portrait" verticalDpi="0" r:id="rId1"/>
  <headerFooter>
    <oddHeader>&amp;L&amp;8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07"/>
  <sheetViews>
    <sheetView workbookViewId="0">
      <selection activeCell="G12" sqref="G12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52250</v>
      </c>
      <c r="M1">
        <v>10</v>
      </c>
      <c r="N1">
        <v>11</v>
      </c>
      <c r="O1">
        <v>7</v>
      </c>
      <c r="P1">
        <v>0</v>
      </c>
      <c r="Q1">
        <v>3</v>
      </c>
    </row>
    <row r="12" spans="1:133" x14ac:dyDescent="0.2">
      <c r="A12" s="1">
        <v>1</v>
      </c>
      <c r="B12" s="1">
        <v>202</v>
      </c>
      <c r="C12" s="1">
        <v>0</v>
      </c>
      <c r="D12" s="1">
        <f>ROW(A138)</f>
        <v>138</v>
      </c>
      <c r="E12" s="1">
        <v>0</v>
      </c>
      <c r="F12" s="1" t="s">
        <v>4</v>
      </c>
      <c r="G12" s="57" t="s">
        <v>538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8</v>
      </c>
      <c r="CB12" s="1" t="s">
        <v>8</v>
      </c>
      <c r="CC12" s="1" t="s">
        <v>8</v>
      </c>
      <c r="CD12" s="1" t="s">
        <v>8</v>
      </c>
      <c r="CE12" s="1" t="s">
        <v>10</v>
      </c>
      <c r="CF12" s="1">
        <v>0</v>
      </c>
      <c r="CG12" s="1">
        <v>0</v>
      </c>
      <c r="CH12" s="1">
        <v>2105352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11</v>
      </c>
      <c r="CR12" s="1" t="s">
        <v>12</v>
      </c>
      <c r="CS12" s="1">
        <v>42130</v>
      </c>
      <c r="CT12" s="1">
        <v>246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45" x14ac:dyDescent="0.2">
      <c r="A18" s="2">
        <v>52</v>
      </c>
      <c r="B18" s="2">
        <f t="shared" ref="B18:G18" si="0">B138</f>
        <v>202</v>
      </c>
      <c r="C18" s="2">
        <f t="shared" si="0"/>
        <v>1</v>
      </c>
      <c r="D18" s="2">
        <f t="shared" si="0"/>
        <v>12</v>
      </c>
      <c r="E18" s="2">
        <f t="shared" si="0"/>
        <v>0</v>
      </c>
      <c r="F18" s="2" t="str">
        <f t="shared" si="0"/>
        <v>Новый объект_(Копия)</v>
      </c>
      <c r="G18" s="2" t="str">
        <f t="shared" si="0"/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H18" s="2"/>
      <c r="I18" s="2"/>
      <c r="J18" s="2"/>
      <c r="K18" s="2"/>
      <c r="L18" s="2"/>
      <c r="M18" s="2"/>
      <c r="N18" s="2"/>
      <c r="O18" s="2">
        <f t="shared" ref="O18:AT18" si="1">O138</f>
        <v>746172.66</v>
      </c>
      <c r="P18" s="2">
        <f t="shared" si="1"/>
        <v>448124.29</v>
      </c>
      <c r="Q18" s="2">
        <f t="shared" si="1"/>
        <v>232787.4</v>
      </c>
      <c r="R18" s="2">
        <f t="shared" si="1"/>
        <v>24739.69</v>
      </c>
      <c r="S18" s="2">
        <f t="shared" si="1"/>
        <v>65260.97</v>
      </c>
      <c r="T18" s="2">
        <f t="shared" si="1"/>
        <v>0</v>
      </c>
      <c r="U18" s="2">
        <f t="shared" si="1"/>
        <v>224.83074999999999</v>
      </c>
      <c r="V18" s="2">
        <f t="shared" si="1"/>
        <v>63.624150000000007</v>
      </c>
      <c r="W18" s="2">
        <f t="shared" si="1"/>
        <v>0</v>
      </c>
      <c r="X18" s="2">
        <f t="shared" si="1"/>
        <v>90922.75</v>
      </c>
      <c r="Y18" s="2">
        <f t="shared" si="1"/>
        <v>43595.49</v>
      </c>
      <c r="Z18" s="2">
        <f t="shared" si="1"/>
        <v>0</v>
      </c>
      <c r="AA18" s="2">
        <f t="shared" si="1"/>
        <v>0</v>
      </c>
      <c r="AB18" s="2">
        <f t="shared" si="1"/>
        <v>0</v>
      </c>
      <c r="AC18" s="2">
        <f t="shared" si="1"/>
        <v>0</v>
      </c>
      <c r="AD18" s="2">
        <f t="shared" si="1"/>
        <v>0</v>
      </c>
      <c r="AE18" s="2">
        <f t="shared" si="1"/>
        <v>0</v>
      </c>
      <c r="AF18" s="2">
        <f t="shared" si="1"/>
        <v>0</v>
      </c>
      <c r="AG18" s="2">
        <f t="shared" si="1"/>
        <v>0</v>
      </c>
      <c r="AH18" s="2">
        <f t="shared" si="1"/>
        <v>0</v>
      </c>
      <c r="AI18" s="2">
        <f t="shared" si="1"/>
        <v>0</v>
      </c>
      <c r="AJ18" s="2">
        <f t="shared" si="1"/>
        <v>0</v>
      </c>
      <c r="AK18" s="2">
        <f t="shared" si="1"/>
        <v>0</v>
      </c>
      <c r="AL18" s="2">
        <f t="shared" si="1"/>
        <v>0</v>
      </c>
      <c r="AM18" s="2">
        <f t="shared" si="1"/>
        <v>0</v>
      </c>
      <c r="AN18" s="2">
        <f t="shared" si="1"/>
        <v>0</v>
      </c>
      <c r="AO18" s="2">
        <f t="shared" si="1"/>
        <v>0</v>
      </c>
      <c r="AP18" s="2">
        <f t="shared" si="1"/>
        <v>0</v>
      </c>
      <c r="AQ18" s="2">
        <f t="shared" si="1"/>
        <v>0</v>
      </c>
      <c r="AR18" s="2">
        <f t="shared" si="1"/>
        <v>880690.9</v>
      </c>
      <c r="AS18" s="2">
        <f t="shared" si="1"/>
        <v>764972.92</v>
      </c>
      <c r="AT18" s="2">
        <f t="shared" si="1"/>
        <v>115717.98</v>
      </c>
      <c r="AU18" s="2">
        <f t="shared" ref="AU18:BZ18" si="2">AU138</f>
        <v>0</v>
      </c>
      <c r="AV18" s="2">
        <f t="shared" si="2"/>
        <v>448124.29</v>
      </c>
      <c r="AW18" s="2">
        <f t="shared" si="2"/>
        <v>448124.29</v>
      </c>
      <c r="AX18" s="2">
        <f t="shared" si="2"/>
        <v>0</v>
      </c>
      <c r="AY18" s="2">
        <f t="shared" si="2"/>
        <v>448124.29</v>
      </c>
      <c r="AZ18" s="2">
        <f t="shared" si="2"/>
        <v>0</v>
      </c>
      <c r="BA18" s="2">
        <f t="shared" si="2"/>
        <v>0</v>
      </c>
      <c r="BB18" s="2">
        <f t="shared" si="2"/>
        <v>0</v>
      </c>
      <c r="BC18" s="2">
        <f t="shared" si="2"/>
        <v>0</v>
      </c>
      <c r="BD18" s="2">
        <f t="shared" si="2"/>
        <v>0</v>
      </c>
      <c r="BE18" s="2">
        <f t="shared" si="2"/>
        <v>0</v>
      </c>
      <c r="BF18" s="2">
        <f t="shared" si="2"/>
        <v>0</v>
      </c>
      <c r="BG18" s="2">
        <f t="shared" si="2"/>
        <v>0</v>
      </c>
      <c r="BH18" s="2">
        <f t="shared" si="2"/>
        <v>0</v>
      </c>
      <c r="BI18" s="2">
        <f t="shared" si="2"/>
        <v>0</v>
      </c>
      <c r="BJ18" s="2">
        <f t="shared" si="2"/>
        <v>0</v>
      </c>
      <c r="BK18" s="2">
        <f t="shared" si="2"/>
        <v>0</v>
      </c>
      <c r="BL18" s="2">
        <f t="shared" si="2"/>
        <v>0</v>
      </c>
      <c r="BM18" s="2">
        <f t="shared" si="2"/>
        <v>0</v>
      </c>
      <c r="BN18" s="2">
        <f t="shared" si="2"/>
        <v>0</v>
      </c>
      <c r="BO18" s="2">
        <f t="shared" si="2"/>
        <v>0</v>
      </c>
      <c r="BP18" s="2">
        <f t="shared" si="2"/>
        <v>0</v>
      </c>
      <c r="BQ18" s="2">
        <f t="shared" si="2"/>
        <v>0</v>
      </c>
      <c r="BR18" s="2">
        <f t="shared" si="2"/>
        <v>0</v>
      </c>
      <c r="BS18" s="2">
        <f t="shared" si="2"/>
        <v>0</v>
      </c>
      <c r="BT18" s="2">
        <f t="shared" si="2"/>
        <v>0</v>
      </c>
      <c r="BU18" s="2">
        <f t="shared" si="2"/>
        <v>0</v>
      </c>
      <c r="BV18" s="2">
        <f t="shared" si="2"/>
        <v>0</v>
      </c>
      <c r="BW18" s="2">
        <f t="shared" si="2"/>
        <v>0</v>
      </c>
      <c r="BX18" s="2">
        <f t="shared" si="2"/>
        <v>0</v>
      </c>
      <c r="BY18" s="2">
        <f t="shared" si="2"/>
        <v>0</v>
      </c>
      <c r="BZ18" s="2">
        <f t="shared" si="2"/>
        <v>0</v>
      </c>
      <c r="CA18" s="2">
        <f t="shared" ref="CA18:DF18" si="3">CA138</f>
        <v>0</v>
      </c>
      <c r="CB18" s="2">
        <f t="shared" si="3"/>
        <v>0</v>
      </c>
      <c r="CC18" s="2">
        <f t="shared" si="3"/>
        <v>0</v>
      </c>
      <c r="CD18" s="2">
        <f t="shared" si="3"/>
        <v>0</v>
      </c>
      <c r="CE18" s="2">
        <f t="shared" si="3"/>
        <v>0</v>
      </c>
      <c r="CF18" s="2">
        <f t="shared" si="3"/>
        <v>0</v>
      </c>
      <c r="CG18" s="2">
        <f t="shared" si="3"/>
        <v>0</v>
      </c>
      <c r="CH18" s="2">
        <f t="shared" si="3"/>
        <v>0</v>
      </c>
      <c r="CI18" s="2">
        <f t="shared" si="3"/>
        <v>0</v>
      </c>
      <c r="CJ18" s="2">
        <f t="shared" si="3"/>
        <v>0</v>
      </c>
      <c r="CK18" s="2">
        <f t="shared" si="3"/>
        <v>0</v>
      </c>
      <c r="CL18" s="2">
        <f t="shared" si="3"/>
        <v>0</v>
      </c>
      <c r="CM18" s="2">
        <f t="shared" si="3"/>
        <v>0</v>
      </c>
      <c r="CN18" s="2">
        <f t="shared" si="3"/>
        <v>0</v>
      </c>
      <c r="CO18" s="2">
        <f t="shared" si="3"/>
        <v>0</v>
      </c>
      <c r="CP18" s="2">
        <f t="shared" si="3"/>
        <v>0</v>
      </c>
      <c r="CQ18" s="2">
        <f t="shared" si="3"/>
        <v>0</v>
      </c>
      <c r="CR18" s="2">
        <f t="shared" si="3"/>
        <v>0</v>
      </c>
      <c r="CS18" s="2">
        <f t="shared" si="3"/>
        <v>0</v>
      </c>
      <c r="CT18" s="2">
        <f t="shared" si="3"/>
        <v>0</v>
      </c>
      <c r="CU18" s="2">
        <f t="shared" si="3"/>
        <v>0</v>
      </c>
      <c r="CV18" s="2">
        <f t="shared" si="3"/>
        <v>0</v>
      </c>
      <c r="CW18" s="2">
        <f t="shared" si="3"/>
        <v>0</v>
      </c>
      <c r="CX18" s="2">
        <f t="shared" si="3"/>
        <v>0</v>
      </c>
      <c r="CY18" s="2">
        <f t="shared" si="3"/>
        <v>0</v>
      </c>
      <c r="CZ18" s="2">
        <f t="shared" si="3"/>
        <v>0</v>
      </c>
      <c r="DA18" s="2">
        <f t="shared" si="3"/>
        <v>0</v>
      </c>
      <c r="DB18" s="2">
        <f t="shared" si="3"/>
        <v>0</v>
      </c>
      <c r="DC18" s="2">
        <f t="shared" si="3"/>
        <v>0</v>
      </c>
      <c r="DD18" s="2">
        <f t="shared" si="3"/>
        <v>0</v>
      </c>
      <c r="DE18" s="2">
        <f t="shared" si="3"/>
        <v>0</v>
      </c>
      <c r="DF18" s="2">
        <f t="shared" si="3"/>
        <v>0</v>
      </c>
      <c r="DG18" s="3">
        <f t="shared" ref="DG18:EL18" si="4">DG138</f>
        <v>0</v>
      </c>
      <c r="DH18" s="3">
        <f t="shared" si="4"/>
        <v>0</v>
      </c>
      <c r="DI18" s="3">
        <f t="shared" si="4"/>
        <v>0</v>
      </c>
      <c r="DJ18" s="3">
        <f t="shared" si="4"/>
        <v>0</v>
      </c>
      <c r="DK18" s="3">
        <f t="shared" si="4"/>
        <v>0</v>
      </c>
      <c r="DL18" s="3">
        <f t="shared" si="4"/>
        <v>0</v>
      </c>
      <c r="DM18" s="3">
        <f t="shared" si="4"/>
        <v>0</v>
      </c>
      <c r="DN18" s="3">
        <f t="shared" si="4"/>
        <v>0</v>
      </c>
      <c r="DO18" s="3">
        <f t="shared" si="4"/>
        <v>0</v>
      </c>
      <c r="DP18" s="3">
        <f t="shared" si="4"/>
        <v>0</v>
      </c>
      <c r="DQ18" s="3">
        <f t="shared" si="4"/>
        <v>0</v>
      </c>
      <c r="DR18" s="3">
        <f t="shared" si="4"/>
        <v>0</v>
      </c>
      <c r="DS18" s="3">
        <f t="shared" si="4"/>
        <v>0</v>
      </c>
      <c r="DT18" s="3">
        <f t="shared" si="4"/>
        <v>0</v>
      </c>
      <c r="DU18" s="3">
        <f t="shared" si="4"/>
        <v>0</v>
      </c>
      <c r="DV18" s="3">
        <f t="shared" si="4"/>
        <v>0</v>
      </c>
      <c r="DW18" s="3">
        <f t="shared" si="4"/>
        <v>0</v>
      </c>
      <c r="DX18" s="3">
        <f t="shared" si="4"/>
        <v>0</v>
      </c>
      <c r="DY18" s="3">
        <f t="shared" si="4"/>
        <v>0</v>
      </c>
      <c r="DZ18" s="3">
        <f t="shared" si="4"/>
        <v>0</v>
      </c>
      <c r="EA18" s="3">
        <f t="shared" si="4"/>
        <v>0</v>
      </c>
      <c r="EB18" s="3">
        <f t="shared" si="4"/>
        <v>0</v>
      </c>
      <c r="EC18" s="3">
        <f t="shared" si="4"/>
        <v>0</v>
      </c>
      <c r="ED18" s="3">
        <f t="shared" si="4"/>
        <v>0</v>
      </c>
      <c r="EE18" s="3">
        <f t="shared" si="4"/>
        <v>0</v>
      </c>
      <c r="EF18" s="3">
        <f t="shared" si="4"/>
        <v>0</v>
      </c>
      <c r="EG18" s="3">
        <f t="shared" si="4"/>
        <v>0</v>
      </c>
      <c r="EH18" s="3">
        <f t="shared" si="4"/>
        <v>0</v>
      </c>
      <c r="EI18" s="3">
        <f t="shared" si="4"/>
        <v>0</v>
      </c>
      <c r="EJ18" s="3">
        <f t="shared" si="4"/>
        <v>0</v>
      </c>
      <c r="EK18" s="3">
        <f t="shared" si="4"/>
        <v>0</v>
      </c>
      <c r="EL18" s="3">
        <f t="shared" si="4"/>
        <v>0</v>
      </c>
      <c r="EM18" s="3">
        <f t="shared" ref="EM18:FR18" si="5">EM138</f>
        <v>0</v>
      </c>
      <c r="EN18" s="3">
        <f t="shared" si="5"/>
        <v>0</v>
      </c>
      <c r="EO18" s="3">
        <f t="shared" si="5"/>
        <v>0</v>
      </c>
      <c r="EP18" s="3">
        <f t="shared" si="5"/>
        <v>0</v>
      </c>
      <c r="EQ18" s="3">
        <f t="shared" si="5"/>
        <v>0</v>
      </c>
      <c r="ER18" s="3">
        <f t="shared" si="5"/>
        <v>0</v>
      </c>
      <c r="ES18" s="3">
        <f t="shared" si="5"/>
        <v>0</v>
      </c>
      <c r="ET18" s="3">
        <f t="shared" si="5"/>
        <v>0</v>
      </c>
      <c r="EU18" s="3">
        <f t="shared" si="5"/>
        <v>0</v>
      </c>
      <c r="EV18" s="3">
        <f t="shared" si="5"/>
        <v>0</v>
      </c>
      <c r="EW18" s="3">
        <f t="shared" si="5"/>
        <v>0</v>
      </c>
      <c r="EX18" s="3">
        <f t="shared" si="5"/>
        <v>0</v>
      </c>
      <c r="EY18" s="3">
        <f t="shared" si="5"/>
        <v>0</v>
      </c>
      <c r="EZ18" s="3">
        <f t="shared" si="5"/>
        <v>0</v>
      </c>
      <c r="FA18" s="3">
        <f t="shared" si="5"/>
        <v>0</v>
      </c>
      <c r="FB18" s="3">
        <f t="shared" si="5"/>
        <v>0</v>
      </c>
      <c r="FC18" s="3">
        <f t="shared" si="5"/>
        <v>0</v>
      </c>
      <c r="FD18" s="3">
        <f t="shared" si="5"/>
        <v>0</v>
      </c>
      <c r="FE18" s="3">
        <f t="shared" si="5"/>
        <v>0</v>
      </c>
      <c r="FF18" s="3">
        <f t="shared" si="5"/>
        <v>0</v>
      </c>
      <c r="FG18" s="3">
        <f t="shared" si="5"/>
        <v>0</v>
      </c>
      <c r="FH18" s="3">
        <f t="shared" si="5"/>
        <v>0</v>
      </c>
      <c r="FI18" s="3">
        <f t="shared" si="5"/>
        <v>0</v>
      </c>
      <c r="FJ18" s="3">
        <f t="shared" si="5"/>
        <v>0</v>
      </c>
      <c r="FK18" s="3">
        <f t="shared" si="5"/>
        <v>0</v>
      </c>
      <c r="FL18" s="3">
        <f t="shared" si="5"/>
        <v>0</v>
      </c>
      <c r="FM18" s="3">
        <f t="shared" si="5"/>
        <v>0</v>
      </c>
      <c r="FN18" s="3">
        <f t="shared" si="5"/>
        <v>0</v>
      </c>
      <c r="FO18" s="3">
        <f t="shared" si="5"/>
        <v>0</v>
      </c>
      <c r="FP18" s="3">
        <f t="shared" si="5"/>
        <v>0</v>
      </c>
      <c r="FQ18" s="3">
        <f t="shared" si="5"/>
        <v>0</v>
      </c>
      <c r="FR18" s="3">
        <f t="shared" si="5"/>
        <v>0</v>
      </c>
      <c r="FS18" s="3">
        <f t="shared" ref="FS18:GX18" si="6">FS138</f>
        <v>0</v>
      </c>
      <c r="FT18" s="3">
        <f t="shared" si="6"/>
        <v>0</v>
      </c>
      <c r="FU18" s="3">
        <f t="shared" si="6"/>
        <v>0</v>
      </c>
      <c r="FV18" s="3">
        <f t="shared" si="6"/>
        <v>0</v>
      </c>
      <c r="FW18" s="3">
        <f t="shared" si="6"/>
        <v>0</v>
      </c>
      <c r="FX18" s="3">
        <f t="shared" si="6"/>
        <v>0</v>
      </c>
      <c r="FY18" s="3">
        <f t="shared" si="6"/>
        <v>0</v>
      </c>
      <c r="FZ18" s="3">
        <f t="shared" si="6"/>
        <v>0</v>
      </c>
      <c r="GA18" s="3">
        <f t="shared" si="6"/>
        <v>0</v>
      </c>
      <c r="GB18" s="3">
        <f t="shared" si="6"/>
        <v>0</v>
      </c>
      <c r="GC18" s="3">
        <f t="shared" si="6"/>
        <v>0</v>
      </c>
      <c r="GD18" s="3">
        <f t="shared" si="6"/>
        <v>0</v>
      </c>
      <c r="GE18" s="3">
        <f t="shared" si="6"/>
        <v>0</v>
      </c>
      <c r="GF18" s="3">
        <f t="shared" si="6"/>
        <v>0</v>
      </c>
      <c r="GG18" s="3">
        <f t="shared" si="6"/>
        <v>0</v>
      </c>
      <c r="GH18" s="3">
        <f t="shared" si="6"/>
        <v>0</v>
      </c>
      <c r="GI18" s="3">
        <f t="shared" si="6"/>
        <v>0</v>
      </c>
      <c r="GJ18" s="3">
        <f t="shared" si="6"/>
        <v>0</v>
      </c>
      <c r="GK18" s="3">
        <f t="shared" si="6"/>
        <v>0</v>
      </c>
      <c r="GL18" s="3">
        <f t="shared" si="6"/>
        <v>0</v>
      </c>
      <c r="GM18" s="3">
        <f t="shared" si="6"/>
        <v>0</v>
      </c>
      <c r="GN18" s="3">
        <f t="shared" si="6"/>
        <v>0</v>
      </c>
      <c r="GO18" s="3">
        <f t="shared" si="6"/>
        <v>0</v>
      </c>
      <c r="GP18" s="3">
        <f t="shared" si="6"/>
        <v>0</v>
      </c>
      <c r="GQ18" s="3">
        <f t="shared" si="6"/>
        <v>0</v>
      </c>
      <c r="GR18" s="3">
        <f t="shared" si="6"/>
        <v>0</v>
      </c>
      <c r="GS18" s="3">
        <f t="shared" si="6"/>
        <v>0</v>
      </c>
      <c r="GT18" s="3">
        <f t="shared" si="6"/>
        <v>0</v>
      </c>
      <c r="GU18" s="3">
        <f t="shared" si="6"/>
        <v>0</v>
      </c>
      <c r="GV18" s="3">
        <f t="shared" si="6"/>
        <v>0</v>
      </c>
      <c r="GW18" s="3">
        <f t="shared" si="6"/>
        <v>0</v>
      </c>
      <c r="GX18" s="3">
        <f t="shared" si="6"/>
        <v>0</v>
      </c>
    </row>
    <row r="20" spans="1:245" x14ac:dyDescent="0.2">
      <c r="A20" s="1">
        <v>3</v>
      </c>
      <c r="B20" s="1">
        <v>1</v>
      </c>
      <c r="C20" s="1"/>
      <c r="D20" s="1">
        <f>ROW(A100)</f>
        <v>100</v>
      </c>
      <c r="E20" s="1"/>
      <c r="F20" s="1" t="s">
        <v>3</v>
      </c>
      <c r="G20" s="1" t="s">
        <v>13</v>
      </c>
      <c r="H20" s="1" t="s">
        <v>3</v>
      </c>
      <c r="I20" s="1">
        <v>0</v>
      </c>
      <c r="J20" s="1" t="s">
        <v>3</v>
      </c>
      <c r="K20" s="1">
        <v>0</v>
      </c>
      <c r="L20" s="1" t="s">
        <v>13</v>
      </c>
      <c r="M20" s="1" t="s">
        <v>3</v>
      </c>
      <c r="N20" s="1"/>
      <c r="O20" s="1"/>
      <c r="P20" s="1"/>
      <c r="Q20" s="1"/>
      <c r="R20" s="1"/>
      <c r="S20" s="1">
        <v>0</v>
      </c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  <c r="CK20" t="s">
        <v>3</v>
      </c>
      <c r="CL20" t="s">
        <v>3</v>
      </c>
      <c r="CM20" t="s">
        <v>3</v>
      </c>
      <c r="CN20" t="s">
        <v>3</v>
      </c>
      <c r="CO20" t="s">
        <v>3</v>
      </c>
      <c r="CP20" t="s">
        <v>3</v>
      </c>
      <c r="CQ20" t="s">
        <v>3</v>
      </c>
    </row>
    <row r="22" spans="1:245" x14ac:dyDescent="0.2">
      <c r="A22" s="2">
        <v>52</v>
      </c>
      <c r="B22" s="2">
        <f t="shared" ref="B22:G22" si="7">B100</f>
        <v>1</v>
      </c>
      <c r="C22" s="2">
        <f t="shared" si="7"/>
        <v>3</v>
      </c>
      <c r="D22" s="2">
        <f t="shared" si="7"/>
        <v>20</v>
      </c>
      <c r="E22" s="2">
        <f t="shared" si="7"/>
        <v>0</v>
      </c>
      <c r="F22" s="2" t="str">
        <f t="shared" si="7"/>
        <v/>
      </c>
      <c r="G22" s="2" t="str">
        <f t="shared" si="7"/>
        <v>Новая локальная смета</v>
      </c>
      <c r="H22" s="2"/>
      <c r="I22" s="2"/>
      <c r="J22" s="2"/>
      <c r="K22" s="2"/>
      <c r="L22" s="2"/>
      <c r="M22" s="2"/>
      <c r="N22" s="2"/>
      <c r="O22" s="2">
        <f t="shared" ref="O22:AT22" si="8">O100</f>
        <v>746172.66</v>
      </c>
      <c r="P22" s="2">
        <f t="shared" si="8"/>
        <v>448124.29</v>
      </c>
      <c r="Q22" s="2">
        <f t="shared" si="8"/>
        <v>232787.4</v>
      </c>
      <c r="R22" s="2">
        <f t="shared" si="8"/>
        <v>24739.69</v>
      </c>
      <c r="S22" s="2">
        <f t="shared" si="8"/>
        <v>65260.97</v>
      </c>
      <c r="T22" s="2">
        <f t="shared" si="8"/>
        <v>0</v>
      </c>
      <c r="U22" s="2">
        <f t="shared" si="8"/>
        <v>224.83074999999999</v>
      </c>
      <c r="V22" s="2">
        <f t="shared" si="8"/>
        <v>63.624150000000007</v>
      </c>
      <c r="W22" s="2">
        <f t="shared" si="8"/>
        <v>0</v>
      </c>
      <c r="X22" s="2">
        <f t="shared" si="8"/>
        <v>90922.75</v>
      </c>
      <c r="Y22" s="2">
        <f t="shared" si="8"/>
        <v>43595.49</v>
      </c>
      <c r="Z22" s="2">
        <f t="shared" si="8"/>
        <v>0</v>
      </c>
      <c r="AA22" s="2">
        <f t="shared" si="8"/>
        <v>0</v>
      </c>
      <c r="AB22" s="2">
        <f t="shared" si="8"/>
        <v>306348.3</v>
      </c>
      <c r="AC22" s="2">
        <f t="shared" si="8"/>
        <v>8299.93</v>
      </c>
      <c r="AD22" s="2">
        <f t="shared" si="8"/>
        <v>232787.4</v>
      </c>
      <c r="AE22" s="2">
        <f t="shared" si="8"/>
        <v>24739.69</v>
      </c>
      <c r="AF22" s="2">
        <f t="shared" si="8"/>
        <v>65260.97</v>
      </c>
      <c r="AG22" s="2">
        <f t="shared" si="8"/>
        <v>0</v>
      </c>
      <c r="AH22" s="2">
        <f t="shared" si="8"/>
        <v>224.83074999999999</v>
      </c>
      <c r="AI22" s="2">
        <f t="shared" si="8"/>
        <v>63.624150000000007</v>
      </c>
      <c r="AJ22" s="2">
        <f t="shared" si="8"/>
        <v>0</v>
      </c>
      <c r="AK22" s="2">
        <f t="shared" si="8"/>
        <v>90922.75</v>
      </c>
      <c r="AL22" s="2">
        <f t="shared" si="8"/>
        <v>43595.49</v>
      </c>
      <c r="AM22" s="2">
        <f t="shared" si="8"/>
        <v>0</v>
      </c>
      <c r="AN22" s="2">
        <f t="shared" si="8"/>
        <v>0</v>
      </c>
      <c r="AO22" s="2">
        <f t="shared" si="8"/>
        <v>0</v>
      </c>
      <c r="AP22" s="2">
        <f t="shared" si="8"/>
        <v>0</v>
      </c>
      <c r="AQ22" s="2">
        <f t="shared" si="8"/>
        <v>0</v>
      </c>
      <c r="AR22" s="2">
        <f t="shared" si="8"/>
        <v>880690.9</v>
      </c>
      <c r="AS22" s="2">
        <f t="shared" si="8"/>
        <v>764972.92</v>
      </c>
      <c r="AT22" s="2">
        <f t="shared" si="8"/>
        <v>115717.98</v>
      </c>
      <c r="AU22" s="2">
        <f t="shared" ref="AU22:BZ22" si="9">AU100</f>
        <v>0</v>
      </c>
      <c r="AV22" s="2">
        <f t="shared" si="9"/>
        <v>448124.29</v>
      </c>
      <c r="AW22" s="2">
        <f t="shared" si="9"/>
        <v>448124.29</v>
      </c>
      <c r="AX22" s="2">
        <f t="shared" si="9"/>
        <v>0</v>
      </c>
      <c r="AY22" s="2">
        <f t="shared" si="9"/>
        <v>448124.29</v>
      </c>
      <c r="AZ22" s="2">
        <f t="shared" si="9"/>
        <v>0</v>
      </c>
      <c r="BA22" s="2">
        <f t="shared" si="9"/>
        <v>0</v>
      </c>
      <c r="BB22" s="2">
        <f t="shared" si="9"/>
        <v>0</v>
      </c>
      <c r="BC22" s="2">
        <f t="shared" si="9"/>
        <v>0</v>
      </c>
      <c r="BD22" s="2">
        <f t="shared" si="9"/>
        <v>0</v>
      </c>
      <c r="BE22" s="2">
        <f t="shared" si="9"/>
        <v>0</v>
      </c>
      <c r="BF22" s="2">
        <f t="shared" si="9"/>
        <v>0</v>
      </c>
      <c r="BG22" s="2">
        <f t="shared" si="9"/>
        <v>0</v>
      </c>
      <c r="BH22" s="2">
        <f t="shared" si="9"/>
        <v>0</v>
      </c>
      <c r="BI22" s="2">
        <f t="shared" si="9"/>
        <v>0</v>
      </c>
      <c r="BJ22" s="2">
        <f t="shared" si="9"/>
        <v>0</v>
      </c>
      <c r="BK22" s="2">
        <f t="shared" si="9"/>
        <v>0</v>
      </c>
      <c r="BL22" s="2">
        <f t="shared" si="9"/>
        <v>0</v>
      </c>
      <c r="BM22" s="2">
        <f t="shared" si="9"/>
        <v>0</v>
      </c>
      <c r="BN22" s="2">
        <f t="shared" si="9"/>
        <v>0</v>
      </c>
      <c r="BO22" s="2">
        <f t="shared" si="9"/>
        <v>0</v>
      </c>
      <c r="BP22" s="2">
        <f t="shared" si="9"/>
        <v>0</v>
      </c>
      <c r="BQ22" s="2">
        <f t="shared" si="9"/>
        <v>0</v>
      </c>
      <c r="BR22" s="2">
        <f t="shared" si="9"/>
        <v>0</v>
      </c>
      <c r="BS22" s="2">
        <f t="shared" si="9"/>
        <v>0</v>
      </c>
      <c r="BT22" s="2">
        <f t="shared" si="9"/>
        <v>0</v>
      </c>
      <c r="BU22" s="2">
        <f t="shared" si="9"/>
        <v>0</v>
      </c>
      <c r="BV22" s="2">
        <f t="shared" si="9"/>
        <v>0</v>
      </c>
      <c r="BW22" s="2">
        <f t="shared" si="9"/>
        <v>0</v>
      </c>
      <c r="BX22" s="2">
        <f t="shared" si="9"/>
        <v>0</v>
      </c>
      <c r="BY22" s="2">
        <f t="shared" si="9"/>
        <v>0</v>
      </c>
      <c r="BZ22" s="2">
        <f t="shared" si="9"/>
        <v>0</v>
      </c>
      <c r="CA22" s="2">
        <f t="shared" ref="CA22:DF22" si="10">CA100</f>
        <v>440866.54</v>
      </c>
      <c r="CB22" s="2">
        <f t="shared" si="10"/>
        <v>325148.56</v>
      </c>
      <c r="CC22" s="2">
        <f t="shared" si="10"/>
        <v>115717.98</v>
      </c>
      <c r="CD22" s="2">
        <f t="shared" si="10"/>
        <v>0</v>
      </c>
      <c r="CE22" s="2">
        <f t="shared" si="10"/>
        <v>8299.93</v>
      </c>
      <c r="CF22" s="2">
        <f t="shared" si="10"/>
        <v>8299.93</v>
      </c>
      <c r="CG22" s="2">
        <f t="shared" si="10"/>
        <v>0</v>
      </c>
      <c r="CH22" s="2">
        <f t="shared" si="10"/>
        <v>8299.93</v>
      </c>
      <c r="CI22" s="2">
        <f t="shared" si="10"/>
        <v>0</v>
      </c>
      <c r="CJ22" s="2">
        <f t="shared" si="10"/>
        <v>0</v>
      </c>
      <c r="CK22" s="2">
        <f t="shared" si="10"/>
        <v>0</v>
      </c>
      <c r="CL22" s="2">
        <f t="shared" si="10"/>
        <v>0</v>
      </c>
      <c r="CM22" s="2">
        <f t="shared" si="10"/>
        <v>0</v>
      </c>
      <c r="CN22" s="2">
        <f t="shared" si="10"/>
        <v>0</v>
      </c>
      <c r="CO22" s="2">
        <f t="shared" si="10"/>
        <v>0</v>
      </c>
      <c r="CP22" s="2">
        <f t="shared" si="10"/>
        <v>0</v>
      </c>
      <c r="CQ22" s="2">
        <f t="shared" si="10"/>
        <v>0</v>
      </c>
      <c r="CR22" s="2">
        <f t="shared" si="10"/>
        <v>0</v>
      </c>
      <c r="CS22" s="2">
        <f t="shared" si="10"/>
        <v>0</v>
      </c>
      <c r="CT22" s="2">
        <f t="shared" si="10"/>
        <v>0</v>
      </c>
      <c r="CU22" s="2">
        <f t="shared" si="10"/>
        <v>0</v>
      </c>
      <c r="CV22" s="2">
        <f t="shared" si="10"/>
        <v>0</v>
      </c>
      <c r="CW22" s="2">
        <f t="shared" si="10"/>
        <v>0</v>
      </c>
      <c r="CX22" s="2">
        <f t="shared" si="10"/>
        <v>0</v>
      </c>
      <c r="CY22" s="2">
        <f t="shared" si="10"/>
        <v>0</v>
      </c>
      <c r="CZ22" s="2">
        <f t="shared" si="10"/>
        <v>0</v>
      </c>
      <c r="DA22" s="2">
        <f t="shared" si="10"/>
        <v>0</v>
      </c>
      <c r="DB22" s="2">
        <f t="shared" si="10"/>
        <v>0</v>
      </c>
      <c r="DC22" s="2">
        <f t="shared" si="10"/>
        <v>0</v>
      </c>
      <c r="DD22" s="2">
        <f t="shared" si="10"/>
        <v>0</v>
      </c>
      <c r="DE22" s="2">
        <f t="shared" si="10"/>
        <v>0</v>
      </c>
      <c r="DF22" s="2">
        <f t="shared" si="10"/>
        <v>0</v>
      </c>
      <c r="DG22" s="3">
        <f t="shared" ref="DG22:EL22" si="11">DG100</f>
        <v>0</v>
      </c>
      <c r="DH22" s="3">
        <f t="shared" si="11"/>
        <v>0</v>
      </c>
      <c r="DI22" s="3">
        <f t="shared" si="11"/>
        <v>0</v>
      </c>
      <c r="DJ22" s="3">
        <f t="shared" si="11"/>
        <v>0</v>
      </c>
      <c r="DK22" s="3">
        <f t="shared" si="11"/>
        <v>0</v>
      </c>
      <c r="DL22" s="3">
        <f t="shared" si="11"/>
        <v>0</v>
      </c>
      <c r="DM22" s="3">
        <f t="shared" si="11"/>
        <v>0</v>
      </c>
      <c r="DN22" s="3">
        <f t="shared" si="11"/>
        <v>0</v>
      </c>
      <c r="DO22" s="3">
        <f t="shared" si="11"/>
        <v>0</v>
      </c>
      <c r="DP22" s="3">
        <f t="shared" si="11"/>
        <v>0</v>
      </c>
      <c r="DQ22" s="3">
        <f t="shared" si="11"/>
        <v>0</v>
      </c>
      <c r="DR22" s="3">
        <f t="shared" si="11"/>
        <v>0</v>
      </c>
      <c r="DS22" s="3">
        <f t="shared" si="11"/>
        <v>0</v>
      </c>
      <c r="DT22" s="3">
        <f t="shared" si="11"/>
        <v>0</v>
      </c>
      <c r="DU22" s="3">
        <f t="shared" si="11"/>
        <v>0</v>
      </c>
      <c r="DV22" s="3">
        <f t="shared" si="11"/>
        <v>0</v>
      </c>
      <c r="DW22" s="3">
        <f t="shared" si="11"/>
        <v>0</v>
      </c>
      <c r="DX22" s="3">
        <f t="shared" si="11"/>
        <v>0</v>
      </c>
      <c r="DY22" s="3">
        <f t="shared" si="11"/>
        <v>0</v>
      </c>
      <c r="DZ22" s="3">
        <f t="shared" si="11"/>
        <v>0</v>
      </c>
      <c r="EA22" s="3">
        <f t="shared" si="11"/>
        <v>0</v>
      </c>
      <c r="EB22" s="3">
        <f t="shared" si="11"/>
        <v>0</v>
      </c>
      <c r="EC22" s="3">
        <f t="shared" si="11"/>
        <v>0</v>
      </c>
      <c r="ED22" s="3">
        <f t="shared" si="11"/>
        <v>0</v>
      </c>
      <c r="EE22" s="3">
        <f t="shared" si="11"/>
        <v>0</v>
      </c>
      <c r="EF22" s="3">
        <f t="shared" si="11"/>
        <v>0</v>
      </c>
      <c r="EG22" s="3">
        <f t="shared" si="11"/>
        <v>0</v>
      </c>
      <c r="EH22" s="3">
        <f t="shared" si="11"/>
        <v>0</v>
      </c>
      <c r="EI22" s="3">
        <f t="shared" si="11"/>
        <v>0</v>
      </c>
      <c r="EJ22" s="3">
        <f t="shared" si="11"/>
        <v>0</v>
      </c>
      <c r="EK22" s="3">
        <f t="shared" si="11"/>
        <v>0</v>
      </c>
      <c r="EL22" s="3">
        <f t="shared" si="11"/>
        <v>0</v>
      </c>
      <c r="EM22" s="3">
        <f t="shared" ref="EM22:FR22" si="12">EM100</f>
        <v>0</v>
      </c>
      <c r="EN22" s="3">
        <f t="shared" si="12"/>
        <v>0</v>
      </c>
      <c r="EO22" s="3">
        <f t="shared" si="12"/>
        <v>0</v>
      </c>
      <c r="EP22" s="3">
        <f t="shared" si="12"/>
        <v>0</v>
      </c>
      <c r="EQ22" s="3">
        <f t="shared" si="12"/>
        <v>0</v>
      </c>
      <c r="ER22" s="3">
        <f t="shared" si="12"/>
        <v>0</v>
      </c>
      <c r="ES22" s="3">
        <f t="shared" si="12"/>
        <v>0</v>
      </c>
      <c r="ET22" s="3">
        <f t="shared" si="12"/>
        <v>0</v>
      </c>
      <c r="EU22" s="3">
        <f t="shared" si="12"/>
        <v>0</v>
      </c>
      <c r="EV22" s="3">
        <f t="shared" si="12"/>
        <v>0</v>
      </c>
      <c r="EW22" s="3">
        <f t="shared" si="12"/>
        <v>0</v>
      </c>
      <c r="EX22" s="3">
        <f t="shared" si="12"/>
        <v>0</v>
      </c>
      <c r="EY22" s="3">
        <f t="shared" si="12"/>
        <v>0</v>
      </c>
      <c r="EZ22" s="3">
        <f t="shared" si="12"/>
        <v>0</v>
      </c>
      <c r="FA22" s="3">
        <f t="shared" si="12"/>
        <v>0</v>
      </c>
      <c r="FB22" s="3">
        <f t="shared" si="12"/>
        <v>0</v>
      </c>
      <c r="FC22" s="3">
        <f t="shared" si="12"/>
        <v>0</v>
      </c>
      <c r="FD22" s="3">
        <f t="shared" si="12"/>
        <v>0</v>
      </c>
      <c r="FE22" s="3">
        <f t="shared" si="12"/>
        <v>0</v>
      </c>
      <c r="FF22" s="3">
        <f t="shared" si="12"/>
        <v>0</v>
      </c>
      <c r="FG22" s="3">
        <f t="shared" si="12"/>
        <v>0</v>
      </c>
      <c r="FH22" s="3">
        <f t="shared" si="12"/>
        <v>0</v>
      </c>
      <c r="FI22" s="3">
        <f t="shared" si="12"/>
        <v>0</v>
      </c>
      <c r="FJ22" s="3">
        <f t="shared" si="12"/>
        <v>0</v>
      </c>
      <c r="FK22" s="3">
        <f t="shared" si="12"/>
        <v>0</v>
      </c>
      <c r="FL22" s="3">
        <f t="shared" si="12"/>
        <v>0</v>
      </c>
      <c r="FM22" s="3">
        <f t="shared" si="12"/>
        <v>0</v>
      </c>
      <c r="FN22" s="3">
        <f t="shared" si="12"/>
        <v>0</v>
      </c>
      <c r="FO22" s="3">
        <f t="shared" si="12"/>
        <v>0</v>
      </c>
      <c r="FP22" s="3">
        <f t="shared" si="12"/>
        <v>0</v>
      </c>
      <c r="FQ22" s="3">
        <f t="shared" si="12"/>
        <v>0</v>
      </c>
      <c r="FR22" s="3">
        <f t="shared" si="12"/>
        <v>0</v>
      </c>
      <c r="FS22" s="3">
        <f t="shared" ref="FS22:GX22" si="13">FS100</f>
        <v>0</v>
      </c>
      <c r="FT22" s="3">
        <f t="shared" si="13"/>
        <v>0</v>
      </c>
      <c r="FU22" s="3">
        <f t="shared" si="13"/>
        <v>0</v>
      </c>
      <c r="FV22" s="3">
        <f t="shared" si="13"/>
        <v>0</v>
      </c>
      <c r="FW22" s="3">
        <f t="shared" si="13"/>
        <v>0</v>
      </c>
      <c r="FX22" s="3">
        <f t="shared" si="13"/>
        <v>0</v>
      </c>
      <c r="FY22" s="3">
        <f t="shared" si="13"/>
        <v>0</v>
      </c>
      <c r="FZ22" s="3">
        <f t="shared" si="13"/>
        <v>0</v>
      </c>
      <c r="GA22" s="3">
        <f t="shared" si="13"/>
        <v>0</v>
      </c>
      <c r="GB22" s="3">
        <f t="shared" si="13"/>
        <v>0</v>
      </c>
      <c r="GC22" s="3">
        <f t="shared" si="13"/>
        <v>0</v>
      </c>
      <c r="GD22" s="3">
        <f t="shared" si="13"/>
        <v>0</v>
      </c>
      <c r="GE22" s="3">
        <f t="shared" si="13"/>
        <v>0</v>
      </c>
      <c r="GF22" s="3">
        <f t="shared" si="13"/>
        <v>0</v>
      </c>
      <c r="GG22" s="3">
        <f t="shared" si="13"/>
        <v>0</v>
      </c>
      <c r="GH22" s="3">
        <f t="shared" si="13"/>
        <v>0</v>
      </c>
      <c r="GI22" s="3">
        <f t="shared" si="13"/>
        <v>0</v>
      </c>
      <c r="GJ22" s="3">
        <f t="shared" si="13"/>
        <v>0</v>
      </c>
      <c r="GK22" s="3">
        <f t="shared" si="13"/>
        <v>0</v>
      </c>
      <c r="GL22" s="3">
        <f t="shared" si="13"/>
        <v>0</v>
      </c>
      <c r="GM22" s="3">
        <f t="shared" si="13"/>
        <v>0</v>
      </c>
      <c r="GN22" s="3">
        <f t="shared" si="13"/>
        <v>0</v>
      </c>
      <c r="GO22" s="3">
        <f t="shared" si="13"/>
        <v>0</v>
      </c>
      <c r="GP22" s="3">
        <f t="shared" si="13"/>
        <v>0</v>
      </c>
      <c r="GQ22" s="3">
        <f t="shared" si="13"/>
        <v>0</v>
      </c>
      <c r="GR22" s="3">
        <f t="shared" si="13"/>
        <v>0</v>
      </c>
      <c r="GS22" s="3">
        <f t="shared" si="13"/>
        <v>0</v>
      </c>
      <c r="GT22" s="3">
        <f t="shared" si="13"/>
        <v>0</v>
      </c>
      <c r="GU22" s="3">
        <f t="shared" si="13"/>
        <v>0</v>
      </c>
      <c r="GV22" s="3">
        <f t="shared" si="13"/>
        <v>0</v>
      </c>
      <c r="GW22" s="3">
        <f t="shared" si="13"/>
        <v>0</v>
      </c>
      <c r="GX22" s="3">
        <f t="shared" si="13"/>
        <v>0</v>
      </c>
    </row>
    <row r="24" spans="1:245" x14ac:dyDescent="0.2">
      <c r="A24">
        <v>17</v>
      </c>
      <c r="B24">
        <v>1</v>
      </c>
      <c r="C24">
        <f>ROW(SmtRes!A3)</f>
        <v>3</v>
      </c>
      <c r="D24">
        <f>ROW(EtalonRes!A3)</f>
        <v>3</v>
      </c>
      <c r="E24" t="s">
        <v>14</v>
      </c>
      <c r="F24" t="s">
        <v>15</v>
      </c>
      <c r="G24" t="s">
        <v>16</v>
      </c>
      <c r="H24" t="s">
        <v>17</v>
      </c>
      <c r="I24">
        <f>ROUND(25/1000,9)</f>
        <v>2.5000000000000001E-2</v>
      </c>
      <c r="J24">
        <v>0</v>
      </c>
      <c r="K24">
        <f>ROUND(25/1000,9)</f>
        <v>2.5000000000000001E-2</v>
      </c>
      <c r="O24">
        <f t="shared" ref="O24:O45" si="14">ROUND(CP24,2)</f>
        <v>1415.09</v>
      </c>
      <c r="P24">
        <f t="shared" ref="P24:P45" si="15">ROUND(CQ24*I24,2)</f>
        <v>0</v>
      </c>
      <c r="Q24">
        <f t="shared" ref="Q24:Q45" si="16">ROUND(CR24*I24,2)</f>
        <v>1334.68</v>
      </c>
      <c r="R24">
        <f t="shared" ref="R24:R45" si="17">ROUND(CS24*I24,2)</f>
        <v>290.11</v>
      </c>
      <c r="S24">
        <f t="shared" ref="S24:S45" si="18">ROUND(CT24*I24,2)</f>
        <v>80.41</v>
      </c>
      <c r="T24">
        <f t="shared" ref="T24:T45" si="19">ROUND(CU24*I24,2)</f>
        <v>0</v>
      </c>
      <c r="U24">
        <f t="shared" ref="U24:U45" si="20">CV24*I24</f>
        <v>0.33925000000000005</v>
      </c>
      <c r="V24">
        <f t="shared" ref="V24:V45" si="21">CW24*I24</f>
        <v>0.73750000000000004</v>
      </c>
      <c r="W24">
        <f t="shared" ref="W24:W45" si="22">ROUND(CX24*I24,2)</f>
        <v>0</v>
      </c>
      <c r="X24">
        <f t="shared" ref="X24:X45" si="23">ROUND(CY24,2)</f>
        <v>340.88</v>
      </c>
      <c r="Y24">
        <f t="shared" ref="Y24:Y45" si="24">ROUND(CZ24,2)</f>
        <v>170.44</v>
      </c>
      <c r="AA24">
        <v>40777027</v>
      </c>
      <c r="AB24">
        <f t="shared" ref="AB24:AB45" si="25">ROUND((AC24+AD24+AF24),2)</f>
        <v>4134.24</v>
      </c>
      <c r="AC24">
        <f t="shared" ref="AC24:AC39" si="26">ROUND(((ES24*0)),2)</f>
        <v>0</v>
      </c>
      <c r="AD24">
        <f t="shared" ref="AD24:AD45" si="27">ROUND((((ET24)-(EU24))+AE24),2)</f>
        <v>4035.31</v>
      </c>
      <c r="AE24">
        <f t="shared" ref="AE24:AE45" si="28">ROUND((EU24),2)</f>
        <v>356.95</v>
      </c>
      <c r="AF24">
        <f t="shared" ref="AF24:AF45" si="29">ROUND((EV24),2)</f>
        <v>98.93</v>
      </c>
      <c r="AG24">
        <f t="shared" ref="AG24:AG45" si="30">ROUND((AP24),2)</f>
        <v>0</v>
      </c>
      <c r="AH24">
        <f t="shared" ref="AH24:AH45" si="31">(EW24)</f>
        <v>13.57</v>
      </c>
      <c r="AI24">
        <f t="shared" ref="AI24:AI45" si="32">(EX24)</f>
        <v>29.5</v>
      </c>
      <c r="AJ24">
        <f t="shared" ref="AJ24:AJ45" si="33">(AS24)</f>
        <v>0</v>
      </c>
      <c r="AK24">
        <v>4134.24</v>
      </c>
      <c r="AL24">
        <v>0</v>
      </c>
      <c r="AM24">
        <v>4035.31</v>
      </c>
      <c r="AN24">
        <v>356.95</v>
      </c>
      <c r="AO24">
        <v>98.93</v>
      </c>
      <c r="AP24">
        <v>0</v>
      </c>
      <c r="AQ24">
        <v>13.57</v>
      </c>
      <c r="AR24">
        <v>29.5</v>
      </c>
      <c r="AS24">
        <v>0</v>
      </c>
      <c r="AT24">
        <v>92</v>
      </c>
      <c r="AU24">
        <v>46</v>
      </c>
      <c r="AV24">
        <v>1</v>
      </c>
      <c r="AW24">
        <v>1</v>
      </c>
      <c r="AZ24">
        <v>1</v>
      </c>
      <c r="BA24">
        <v>32.51</v>
      </c>
      <c r="BB24">
        <v>13.23</v>
      </c>
      <c r="BC24">
        <v>1</v>
      </c>
      <c r="BD24" t="s">
        <v>3</v>
      </c>
      <c r="BE24" t="s">
        <v>3</v>
      </c>
      <c r="BF24" t="s">
        <v>3</v>
      </c>
      <c r="BG24" t="s">
        <v>3</v>
      </c>
      <c r="BH24">
        <v>0</v>
      </c>
      <c r="BI24">
        <v>1</v>
      </c>
      <c r="BJ24" t="s">
        <v>18</v>
      </c>
      <c r="BM24">
        <v>1001</v>
      </c>
      <c r="BN24">
        <v>0</v>
      </c>
      <c r="BO24" t="s">
        <v>15</v>
      </c>
      <c r="BP24">
        <v>1</v>
      </c>
      <c r="BQ24">
        <v>2</v>
      </c>
      <c r="BR24">
        <v>0</v>
      </c>
      <c r="BS24">
        <v>32.51</v>
      </c>
      <c r="BT24">
        <v>1</v>
      </c>
      <c r="BU24">
        <v>1</v>
      </c>
      <c r="BV24">
        <v>1</v>
      </c>
      <c r="BW24">
        <v>1</v>
      </c>
      <c r="BX24">
        <v>1</v>
      </c>
      <c r="BY24" t="s">
        <v>3</v>
      </c>
      <c r="BZ24">
        <v>92</v>
      </c>
      <c r="CA24">
        <v>46</v>
      </c>
      <c r="CB24" t="s">
        <v>3</v>
      </c>
      <c r="CE24">
        <v>0</v>
      </c>
      <c r="CF24">
        <v>0</v>
      </c>
      <c r="CG24">
        <v>0</v>
      </c>
      <c r="CM24">
        <v>0</v>
      </c>
      <c r="CN24" t="s">
        <v>3</v>
      </c>
      <c r="CO24">
        <v>0</v>
      </c>
      <c r="CP24">
        <f t="shared" ref="CP24:CP45" si="34">(P24+Q24+S24)</f>
        <v>1415.0900000000001</v>
      </c>
      <c r="CQ24">
        <f t="shared" ref="CQ24:CQ45" si="35">AC24*BC24</f>
        <v>0</v>
      </c>
      <c r="CR24">
        <f t="shared" ref="CR24:CR45" si="36">(((ET24)*BB24-(EU24)*BS24)+AE24*BS24)</f>
        <v>53387.151299999998</v>
      </c>
      <c r="CS24">
        <f t="shared" ref="CS24:CS45" si="37">AE24*BS24</f>
        <v>11604.4445</v>
      </c>
      <c r="CT24">
        <f t="shared" ref="CT24:CT45" si="38">AF24*BA24</f>
        <v>3216.2143000000001</v>
      </c>
      <c r="CU24">
        <f t="shared" ref="CU24:CU45" si="39">AG24</f>
        <v>0</v>
      </c>
      <c r="CV24">
        <f t="shared" ref="CV24:CV45" si="40">AH24</f>
        <v>13.57</v>
      </c>
      <c r="CW24">
        <f t="shared" ref="CW24:CW45" si="41">AI24</f>
        <v>29.5</v>
      </c>
      <c r="CX24">
        <f t="shared" ref="CX24:CX45" si="42">AJ24</f>
        <v>0</v>
      </c>
      <c r="CY24">
        <f t="shared" ref="CY24:CY45" si="43">(((S24+R24)*AT24)/100)</f>
        <v>340.87839999999994</v>
      </c>
      <c r="CZ24">
        <f t="shared" ref="CZ24:CZ45" si="44">(((S24+R24)*AU24)/100)</f>
        <v>170.43919999999997</v>
      </c>
      <c r="DC24" t="s">
        <v>3</v>
      </c>
      <c r="DD24" t="s">
        <v>19</v>
      </c>
      <c r="DE24" t="s">
        <v>3</v>
      </c>
      <c r="DF24" t="s">
        <v>3</v>
      </c>
      <c r="DG24" t="s">
        <v>3</v>
      </c>
      <c r="DH24" t="s">
        <v>3</v>
      </c>
      <c r="DI24" t="s">
        <v>3</v>
      </c>
      <c r="DJ24" t="s">
        <v>3</v>
      </c>
      <c r="DK24" t="s">
        <v>3</v>
      </c>
      <c r="DL24" t="s">
        <v>3</v>
      </c>
      <c r="DM24" t="s">
        <v>3</v>
      </c>
      <c r="DN24">
        <v>0</v>
      </c>
      <c r="DO24">
        <v>0</v>
      </c>
      <c r="DP24">
        <v>1</v>
      </c>
      <c r="DQ24">
        <v>1</v>
      </c>
      <c r="DU24">
        <v>1007</v>
      </c>
      <c r="DV24" t="s">
        <v>17</v>
      </c>
      <c r="DW24" t="s">
        <v>17</v>
      </c>
      <c r="DX24">
        <v>1000</v>
      </c>
      <c r="DZ24" t="s">
        <v>3</v>
      </c>
      <c r="EA24" t="s">
        <v>3</v>
      </c>
      <c r="EB24" t="s">
        <v>3</v>
      </c>
      <c r="EC24" t="s">
        <v>3</v>
      </c>
      <c r="EE24">
        <v>40523157</v>
      </c>
      <c r="EF24">
        <v>2</v>
      </c>
      <c r="EG24" t="s">
        <v>20</v>
      </c>
      <c r="EH24">
        <v>1</v>
      </c>
      <c r="EI24" t="s">
        <v>21</v>
      </c>
      <c r="EJ24">
        <v>1</v>
      </c>
      <c r="EK24">
        <v>1001</v>
      </c>
      <c r="EL24" t="s">
        <v>22</v>
      </c>
      <c r="EM24" t="s">
        <v>23</v>
      </c>
      <c r="EO24" t="s">
        <v>3</v>
      </c>
      <c r="EQ24">
        <v>0</v>
      </c>
      <c r="ER24">
        <v>4134.24</v>
      </c>
      <c r="ES24">
        <v>0</v>
      </c>
      <c r="ET24">
        <v>4035.31</v>
      </c>
      <c r="EU24">
        <v>356.95</v>
      </c>
      <c r="EV24">
        <v>98.93</v>
      </c>
      <c r="EW24">
        <v>13.57</v>
      </c>
      <c r="EX24">
        <v>29.5</v>
      </c>
      <c r="EY24">
        <v>0</v>
      </c>
      <c r="FQ24">
        <v>0</v>
      </c>
      <c r="FR24">
        <f t="shared" ref="FR24:FR45" si="45">ROUND(IF(BI24=3,GM24,0),2)</f>
        <v>0</v>
      </c>
      <c r="FS24">
        <v>0</v>
      </c>
      <c r="FX24">
        <v>92</v>
      </c>
      <c r="FY24">
        <v>46</v>
      </c>
      <c r="GA24" t="s">
        <v>3</v>
      </c>
      <c r="GD24">
        <v>1</v>
      </c>
      <c r="GF24">
        <v>1938304365</v>
      </c>
      <c r="GG24">
        <v>2</v>
      </c>
      <c r="GH24">
        <v>1</v>
      </c>
      <c r="GI24">
        <v>2</v>
      </c>
      <c r="GJ24">
        <v>0</v>
      </c>
      <c r="GK24">
        <v>0</v>
      </c>
      <c r="GL24">
        <f t="shared" ref="GL24:GL45" si="46">ROUND(IF(AND(BH24=3,BI24=3,FS24&lt;&gt;0),P24,0),2)</f>
        <v>0</v>
      </c>
      <c r="GM24">
        <f t="shared" ref="GM24:GM45" si="47">ROUND(O24+X24+Y24,2)+GX24</f>
        <v>1926.41</v>
      </c>
      <c r="GN24">
        <f t="shared" ref="GN24:GN45" si="48">IF(OR(BI24=0,BI24=1),GM24,0)</f>
        <v>1926.41</v>
      </c>
      <c r="GO24">
        <f t="shared" ref="GO24:GO45" si="49">IF(BI24=2,GM24,0)</f>
        <v>0</v>
      </c>
      <c r="GP24">
        <f t="shared" ref="GP24:GP45" si="50">IF(BI24=4,GM24+GX24,0)</f>
        <v>0</v>
      </c>
      <c r="GR24">
        <v>0</v>
      </c>
      <c r="GS24">
        <v>3</v>
      </c>
      <c r="GT24">
        <v>0</v>
      </c>
      <c r="GU24" t="s">
        <v>3</v>
      </c>
      <c r="GV24">
        <f t="shared" ref="GV24:GV45" si="51">ROUND((GT24),2)</f>
        <v>0</v>
      </c>
      <c r="GW24">
        <v>1</v>
      </c>
      <c r="GX24">
        <f t="shared" ref="GX24:GX45" si="52">ROUND(HC24*I24,2)</f>
        <v>0</v>
      </c>
      <c r="HA24">
        <v>0</v>
      </c>
      <c r="HB24">
        <v>0</v>
      </c>
      <c r="HC24">
        <f t="shared" ref="HC24:HC45" si="53">GV24*GW24</f>
        <v>0</v>
      </c>
      <c r="HE24" t="s">
        <v>3</v>
      </c>
      <c r="HF24" t="s">
        <v>3</v>
      </c>
      <c r="HM24" t="s">
        <v>3</v>
      </c>
      <c r="HN24" t="s">
        <v>24</v>
      </c>
      <c r="HO24" t="s">
        <v>25</v>
      </c>
      <c r="HP24" t="s">
        <v>22</v>
      </c>
      <c r="HQ24" t="s">
        <v>22</v>
      </c>
      <c r="IK24">
        <v>0</v>
      </c>
    </row>
    <row r="25" spans="1:245" x14ac:dyDescent="0.2">
      <c r="A25">
        <v>17</v>
      </c>
      <c r="B25">
        <v>1</v>
      </c>
      <c r="C25">
        <f>ROW(SmtRes!A5)</f>
        <v>5</v>
      </c>
      <c r="D25">
        <f>ROW(EtalonRes!A5)</f>
        <v>5</v>
      </c>
      <c r="E25" t="s">
        <v>26</v>
      </c>
      <c r="F25" t="s">
        <v>27</v>
      </c>
      <c r="G25" t="s">
        <v>28</v>
      </c>
      <c r="H25" t="s">
        <v>17</v>
      </c>
      <c r="I25">
        <f>ROUND(25/1000,9)</f>
        <v>2.5000000000000001E-2</v>
      </c>
      <c r="J25">
        <v>0</v>
      </c>
      <c r="K25">
        <f>ROUND(25/1000,9)</f>
        <v>2.5000000000000001E-2</v>
      </c>
      <c r="O25">
        <f t="shared" si="14"/>
        <v>328.18</v>
      </c>
      <c r="P25">
        <f t="shared" si="15"/>
        <v>0</v>
      </c>
      <c r="Q25">
        <f t="shared" si="16"/>
        <v>328.18</v>
      </c>
      <c r="R25">
        <f t="shared" si="17"/>
        <v>74.61</v>
      </c>
      <c r="S25">
        <f t="shared" si="18"/>
        <v>0</v>
      </c>
      <c r="T25">
        <f t="shared" si="19"/>
        <v>0</v>
      </c>
      <c r="U25">
        <f t="shared" si="20"/>
        <v>0</v>
      </c>
      <c r="V25">
        <f t="shared" si="21"/>
        <v>0.22175</v>
      </c>
      <c r="W25">
        <f t="shared" si="22"/>
        <v>0</v>
      </c>
      <c r="X25">
        <f t="shared" si="23"/>
        <v>68.64</v>
      </c>
      <c r="Y25">
        <f t="shared" si="24"/>
        <v>34.32</v>
      </c>
      <c r="AA25">
        <v>40777027</v>
      </c>
      <c r="AB25">
        <f t="shared" si="25"/>
        <v>909.09</v>
      </c>
      <c r="AC25">
        <f t="shared" si="26"/>
        <v>0</v>
      </c>
      <c r="AD25">
        <f t="shared" si="27"/>
        <v>909.09</v>
      </c>
      <c r="AE25">
        <f t="shared" si="28"/>
        <v>91.8</v>
      </c>
      <c r="AF25">
        <f t="shared" si="29"/>
        <v>0</v>
      </c>
      <c r="AG25">
        <f t="shared" si="30"/>
        <v>0</v>
      </c>
      <c r="AH25">
        <f t="shared" si="31"/>
        <v>0</v>
      </c>
      <c r="AI25">
        <f t="shared" si="32"/>
        <v>8.8699999999999992</v>
      </c>
      <c r="AJ25">
        <f t="shared" si="33"/>
        <v>0</v>
      </c>
      <c r="AK25">
        <v>909.09</v>
      </c>
      <c r="AL25">
        <v>0</v>
      </c>
      <c r="AM25">
        <v>909.09</v>
      </c>
      <c r="AN25">
        <v>91.8</v>
      </c>
      <c r="AO25">
        <v>0</v>
      </c>
      <c r="AP25">
        <v>0</v>
      </c>
      <c r="AQ25">
        <v>0</v>
      </c>
      <c r="AR25">
        <v>8.8699999999999992</v>
      </c>
      <c r="AS25">
        <v>0</v>
      </c>
      <c r="AT25">
        <v>92</v>
      </c>
      <c r="AU25">
        <v>46</v>
      </c>
      <c r="AV25">
        <v>1</v>
      </c>
      <c r="AW25">
        <v>1</v>
      </c>
      <c r="AZ25">
        <v>1</v>
      </c>
      <c r="BA25">
        <v>32.51</v>
      </c>
      <c r="BB25">
        <v>14.44</v>
      </c>
      <c r="BC25">
        <v>1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29</v>
      </c>
      <c r="BM25">
        <v>1001</v>
      </c>
      <c r="BN25">
        <v>0</v>
      </c>
      <c r="BO25" t="s">
        <v>27</v>
      </c>
      <c r="BP25">
        <v>1</v>
      </c>
      <c r="BQ25">
        <v>2</v>
      </c>
      <c r="BR25">
        <v>0</v>
      </c>
      <c r="BS25">
        <v>32.51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92</v>
      </c>
      <c r="CA25">
        <v>46</v>
      </c>
      <c r="CB25" t="s">
        <v>3</v>
      </c>
      <c r="CE25">
        <v>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4"/>
        <v>328.18</v>
      </c>
      <c r="CQ25">
        <f t="shared" si="35"/>
        <v>0</v>
      </c>
      <c r="CR25">
        <f t="shared" si="36"/>
        <v>13127.259599999999</v>
      </c>
      <c r="CS25">
        <f t="shared" si="37"/>
        <v>2984.4179999999997</v>
      </c>
      <c r="CT25">
        <f t="shared" si="38"/>
        <v>0</v>
      </c>
      <c r="CU25">
        <f t="shared" si="39"/>
        <v>0</v>
      </c>
      <c r="CV25">
        <f t="shared" si="40"/>
        <v>0</v>
      </c>
      <c r="CW25">
        <f t="shared" si="41"/>
        <v>8.8699999999999992</v>
      </c>
      <c r="CX25">
        <f t="shared" si="42"/>
        <v>0</v>
      </c>
      <c r="CY25">
        <f t="shared" si="43"/>
        <v>68.641199999999998</v>
      </c>
      <c r="CZ25">
        <f t="shared" si="44"/>
        <v>34.320599999999999</v>
      </c>
      <c r="DC25" t="s">
        <v>3</v>
      </c>
      <c r="DD25" t="s">
        <v>19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1007</v>
      </c>
      <c r="DV25" t="s">
        <v>17</v>
      </c>
      <c r="DW25" t="s">
        <v>17</v>
      </c>
      <c r="DX25">
        <v>1000</v>
      </c>
      <c r="DZ25" t="s">
        <v>3</v>
      </c>
      <c r="EA25" t="s">
        <v>3</v>
      </c>
      <c r="EB25" t="s">
        <v>3</v>
      </c>
      <c r="EC25" t="s">
        <v>3</v>
      </c>
      <c r="EE25">
        <v>40523157</v>
      </c>
      <c r="EF25">
        <v>2</v>
      </c>
      <c r="EG25" t="s">
        <v>20</v>
      </c>
      <c r="EH25">
        <v>1</v>
      </c>
      <c r="EI25" t="s">
        <v>21</v>
      </c>
      <c r="EJ25">
        <v>1</v>
      </c>
      <c r="EK25">
        <v>1001</v>
      </c>
      <c r="EL25" t="s">
        <v>22</v>
      </c>
      <c r="EM25" t="s">
        <v>23</v>
      </c>
      <c r="EO25" t="s">
        <v>3</v>
      </c>
      <c r="EQ25">
        <v>0</v>
      </c>
      <c r="ER25">
        <v>909.09</v>
      </c>
      <c r="ES25">
        <v>0</v>
      </c>
      <c r="ET25">
        <v>909.09</v>
      </c>
      <c r="EU25">
        <v>91.8</v>
      </c>
      <c r="EV25">
        <v>0</v>
      </c>
      <c r="EW25">
        <v>0</v>
      </c>
      <c r="EX25">
        <v>8.8699999999999992</v>
      </c>
      <c r="EY25">
        <v>0</v>
      </c>
      <c r="FQ25">
        <v>0</v>
      </c>
      <c r="FR25">
        <f t="shared" si="45"/>
        <v>0</v>
      </c>
      <c r="FS25">
        <v>0</v>
      </c>
      <c r="FX25">
        <v>92</v>
      </c>
      <c r="FY25">
        <v>46</v>
      </c>
      <c r="GA25" t="s">
        <v>3</v>
      </c>
      <c r="GD25">
        <v>1</v>
      </c>
      <c r="GF25">
        <v>-1007060059</v>
      </c>
      <c r="GG25">
        <v>2</v>
      </c>
      <c r="GH25">
        <v>1</v>
      </c>
      <c r="GI25">
        <v>2</v>
      </c>
      <c r="GJ25">
        <v>0</v>
      </c>
      <c r="GK25">
        <v>0</v>
      </c>
      <c r="GL25">
        <f t="shared" si="46"/>
        <v>0</v>
      </c>
      <c r="GM25">
        <f t="shared" si="47"/>
        <v>431.14</v>
      </c>
      <c r="GN25">
        <f t="shared" si="48"/>
        <v>431.14</v>
      </c>
      <c r="GO25">
        <f t="shared" si="49"/>
        <v>0</v>
      </c>
      <c r="GP25">
        <f t="shared" si="50"/>
        <v>0</v>
      </c>
      <c r="GR25">
        <v>0</v>
      </c>
      <c r="GS25">
        <v>3</v>
      </c>
      <c r="GT25">
        <v>0</v>
      </c>
      <c r="GU25" t="s">
        <v>3</v>
      </c>
      <c r="GV25">
        <f t="shared" si="51"/>
        <v>0</v>
      </c>
      <c r="GW25">
        <v>1</v>
      </c>
      <c r="GX25">
        <f t="shared" si="52"/>
        <v>0</v>
      </c>
      <c r="HA25">
        <v>0</v>
      </c>
      <c r="HB25">
        <v>0</v>
      </c>
      <c r="HC25">
        <f t="shared" si="53"/>
        <v>0</v>
      </c>
      <c r="HE25" t="s">
        <v>3</v>
      </c>
      <c r="HF25" t="s">
        <v>3</v>
      </c>
      <c r="HM25" t="s">
        <v>3</v>
      </c>
      <c r="HN25" t="s">
        <v>24</v>
      </c>
      <c r="HO25" t="s">
        <v>25</v>
      </c>
      <c r="HP25" t="s">
        <v>22</v>
      </c>
      <c r="HQ25" t="s">
        <v>22</v>
      </c>
      <c r="IK25">
        <v>0</v>
      </c>
    </row>
    <row r="26" spans="1:245" x14ac:dyDescent="0.2">
      <c r="A26">
        <v>17</v>
      </c>
      <c r="B26">
        <v>1</v>
      </c>
      <c r="C26">
        <f>ROW(SmtRes!A6)</f>
        <v>6</v>
      </c>
      <c r="D26">
        <f>ROW(EtalonRes!A6)</f>
        <v>6</v>
      </c>
      <c r="E26" t="s">
        <v>30</v>
      </c>
      <c r="F26" t="s">
        <v>31</v>
      </c>
      <c r="G26" t="s">
        <v>32</v>
      </c>
      <c r="H26" t="s">
        <v>33</v>
      </c>
      <c r="I26">
        <f>ROUND(6/100,9)</f>
        <v>0.06</v>
      </c>
      <c r="J26">
        <v>0</v>
      </c>
      <c r="K26">
        <f>ROUND(6/100,9)</f>
        <v>0.06</v>
      </c>
      <c r="O26">
        <f t="shared" si="14"/>
        <v>2189.86</v>
      </c>
      <c r="P26">
        <f t="shared" si="15"/>
        <v>0</v>
      </c>
      <c r="Q26">
        <f t="shared" si="16"/>
        <v>0</v>
      </c>
      <c r="R26">
        <f t="shared" si="17"/>
        <v>0</v>
      </c>
      <c r="S26">
        <f t="shared" si="18"/>
        <v>2189.86</v>
      </c>
      <c r="T26">
        <f t="shared" si="19"/>
        <v>0</v>
      </c>
      <c r="U26">
        <f t="shared" si="20"/>
        <v>9.24</v>
      </c>
      <c r="V26">
        <f t="shared" si="21"/>
        <v>0</v>
      </c>
      <c r="W26">
        <f t="shared" si="22"/>
        <v>0</v>
      </c>
      <c r="X26">
        <f t="shared" si="23"/>
        <v>1948.98</v>
      </c>
      <c r="Y26">
        <f t="shared" si="24"/>
        <v>875.94</v>
      </c>
      <c r="AA26">
        <v>40777027</v>
      </c>
      <c r="AB26">
        <f t="shared" si="25"/>
        <v>1122.6600000000001</v>
      </c>
      <c r="AC26">
        <f t="shared" si="26"/>
        <v>0</v>
      </c>
      <c r="AD26">
        <f t="shared" si="27"/>
        <v>0</v>
      </c>
      <c r="AE26">
        <f t="shared" si="28"/>
        <v>0</v>
      </c>
      <c r="AF26">
        <f t="shared" si="29"/>
        <v>1122.6600000000001</v>
      </c>
      <c r="AG26">
        <f t="shared" si="30"/>
        <v>0</v>
      </c>
      <c r="AH26">
        <f t="shared" si="31"/>
        <v>154</v>
      </c>
      <c r="AI26">
        <f t="shared" si="32"/>
        <v>0</v>
      </c>
      <c r="AJ26">
        <f t="shared" si="33"/>
        <v>0</v>
      </c>
      <c r="AK26">
        <v>1122.6600000000001</v>
      </c>
      <c r="AL26">
        <v>0</v>
      </c>
      <c r="AM26">
        <v>0</v>
      </c>
      <c r="AN26">
        <v>0</v>
      </c>
      <c r="AO26">
        <v>1122.6600000000001</v>
      </c>
      <c r="AP26">
        <v>0</v>
      </c>
      <c r="AQ26">
        <v>154</v>
      </c>
      <c r="AR26">
        <v>0</v>
      </c>
      <c r="AS26">
        <v>0</v>
      </c>
      <c r="AT26">
        <v>89</v>
      </c>
      <c r="AU26">
        <v>40</v>
      </c>
      <c r="AV26">
        <v>1</v>
      </c>
      <c r="AW26">
        <v>1</v>
      </c>
      <c r="AZ26">
        <v>1</v>
      </c>
      <c r="BA26">
        <v>32.51</v>
      </c>
      <c r="BB26">
        <v>1</v>
      </c>
      <c r="BC26">
        <v>1</v>
      </c>
      <c r="BD26" t="s">
        <v>3</v>
      </c>
      <c r="BE26" t="s">
        <v>3</v>
      </c>
      <c r="BF26" t="s">
        <v>3</v>
      </c>
      <c r="BG26" t="s">
        <v>3</v>
      </c>
      <c r="BH26">
        <v>0</v>
      </c>
      <c r="BI26">
        <v>1</v>
      </c>
      <c r="BJ26" t="s">
        <v>34</v>
      </c>
      <c r="BM26">
        <v>1003</v>
      </c>
      <c r="BN26">
        <v>0</v>
      </c>
      <c r="BO26" t="s">
        <v>31</v>
      </c>
      <c r="BP26">
        <v>1</v>
      </c>
      <c r="BQ26">
        <v>2</v>
      </c>
      <c r="BR26">
        <v>0</v>
      </c>
      <c r="BS26">
        <v>32.51</v>
      </c>
      <c r="BT26">
        <v>1</v>
      </c>
      <c r="BU26">
        <v>1</v>
      </c>
      <c r="BV26">
        <v>1</v>
      </c>
      <c r="BW26">
        <v>1</v>
      </c>
      <c r="BX26">
        <v>1</v>
      </c>
      <c r="BY26" t="s">
        <v>3</v>
      </c>
      <c r="BZ26">
        <v>89</v>
      </c>
      <c r="CA26">
        <v>40</v>
      </c>
      <c r="CB26" t="s">
        <v>3</v>
      </c>
      <c r="CE26">
        <v>0</v>
      </c>
      <c r="CF26">
        <v>0</v>
      </c>
      <c r="CG26">
        <v>0</v>
      </c>
      <c r="CM26">
        <v>0</v>
      </c>
      <c r="CN26" t="s">
        <v>3</v>
      </c>
      <c r="CO26">
        <v>0</v>
      </c>
      <c r="CP26">
        <f t="shared" si="34"/>
        <v>2189.86</v>
      </c>
      <c r="CQ26">
        <f t="shared" si="35"/>
        <v>0</v>
      </c>
      <c r="CR26">
        <f t="shared" si="36"/>
        <v>0</v>
      </c>
      <c r="CS26">
        <f t="shared" si="37"/>
        <v>0</v>
      </c>
      <c r="CT26">
        <f t="shared" si="38"/>
        <v>36497.676599999999</v>
      </c>
      <c r="CU26">
        <f t="shared" si="39"/>
        <v>0</v>
      </c>
      <c r="CV26">
        <f t="shared" si="40"/>
        <v>154</v>
      </c>
      <c r="CW26">
        <f t="shared" si="41"/>
        <v>0</v>
      </c>
      <c r="CX26">
        <f t="shared" si="42"/>
        <v>0</v>
      </c>
      <c r="CY26">
        <f t="shared" si="43"/>
        <v>1948.9754</v>
      </c>
      <c r="CZ26">
        <f t="shared" si="44"/>
        <v>875.94400000000007</v>
      </c>
      <c r="DC26" t="s">
        <v>3</v>
      </c>
      <c r="DD26" t="s">
        <v>19</v>
      </c>
      <c r="DE26" t="s">
        <v>3</v>
      </c>
      <c r="DF26" t="s">
        <v>3</v>
      </c>
      <c r="DG26" t="s">
        <v>3</v>
      </c>
      <c r="DH26" t="s">
        <v>3</v>
      </c>
      <c r="DI26" t="s">
        <v>3</v>
      </c>
      <c r="DJ26" t="s">
        <v>3</v>
      </c>
      <c r="DK26" t="s">
        <v>3</v>
      </c>
      <c r="DL26" t="s">
        <v>3</v>
      </c>
      <c r="DM26" t="s">
        <v>3</v>
      </c>
      <c r="DN26">
        <v>0</v>
      </c>
      <c r="DO26">
        <v>0</v>
      </c>
      <c r="DP26">
        <v>1</v>
      </c>
      <c r="DQ26">
        <v>1</v>
      </c>
      <c r="DU26">
        <v>1013</v>
      </c>
      <c r="DV26" t="s">
        <v>33</v>
      </c>
      <c r="DW26" t="s">
        <v>33</v>
      </c>
      <c r="DX26">
        <v>1</v>
      </c>
      <c r="DZ26" t="s">
        <v>3</v>
      </c>
      <c r="EA26" t="s">
        <v>3</v>
      </c>
      <c r="EB26" t="s">
        <v>3</v>
      </c>
      <c r="EC26" t="s">
        <v>3</v>
      </c>
      <c r="EE26">
        <v>40523160</v>
      </c>
      <c r="EF26">
        <v>2</v>
      </c>
      <c r="EG26" t="s">
        <v>20</v>
      </c>
      <c r="EH26">
        <v>1</v>
      </c>
      <c r="EI26" t="s">
        <v>21</v>
      </c>
      <c r="EJ26">
        <v>1</v>
      </c>
      <c r="EK26">
        <v>1003</v>
      </c>
      <c r="EL26" t="s">
        <v>35</v>
      </c>
      <c r="EM26" t="s">
        <v>23</v>
      </c>
      <c r="EO26" t="s">
        <v>3</v>
      </c>
      <c r="EQ26">
        <v>0</v>
      </c>
      <c r="ER26">
        <v>1122.6600000000001</v>
      </c>
      <c r="ES26">
        <v>0</v>
      </c>
      <c r="ET26">
        <v>0</v>
      </c>
      <c r="EU26">
        <v>0</v>
      </c>
      <c r="EV26">
        <v>1122.6600000000001</v>
      </c>
      <c r="EW26">
        <v>154</v>
      </c>
      <c r="EX26">
        <v>0</v>
      </c>
      <c r="EY26">
        <v>0</v>
      </c>
      <c r="FQ26">
        <v>0</v>
      </c>
      <c r="FR26">
        <f t="shared" si="45"/>
        <v>0</v>
      </c>
      <c r="FS26">
        <v>0</v>
      </c>
      <c r="FX26">
        <v>89</v>
      </c>
      <c r="FY26">
        <v>40</v>
      </c>
      <c r="GA26" t="s">
        <v>3</v>
      </c>
      <c r="GD26">
        <v>1</v>
      </c>
      <c r="GF26">
        <v>1907499899</v>
      </c>
      <c r="GG26">
        <v>2</v>
      </c>
      <c r="GH26">
        <v>1</v>
      </c>
      <c r="GI26">
        <v>2</v>
      </c>
      <c r="GJ26">
        <v>0</v>
      </c>
      <c r="GK26">
        <v>0</v>
      </c>
      <c r="GL26">
        <f t="shared" si="46"/>
        <v>0</v>
      </c>
      <c r="GM26">
        <f t="shared" si="47"/>
        <v>5014.78</v>
      </c>
      <c r="GN26">
        <f t="shared" si="48"/>
        <v>5014.78</v>
      </c>
      <c r="GO26">
        <f t="shared" si="49"/>
        <v>0</v>
      </c>
      <c r="GP26">
        <f t="shared" si="50"/>
        <v>0</v>
      </c>
      <c r="GR26">
        <v>0</v>
      </c>
      <c r="GS26">
        <v>3</v>
      </c>
      <c r="GT26">
        <v>0</v>
      </c>
      <c r="GU26" t="s">
        <v>3</v>
      </c>
      <c r="GV26">
        <f t="shared" si="51"/>
        <v>0</v>
      </c>
      <c r="GW26">
        <v>1</v>
      </c>
      <c r="GX26">
        <f t="shared" si="52"/>
        <v>0</v>
      </c>
      <c r="HA26">
        <v>0</v>
      </c>
      <c r="HB26">
        <v>0</v>
      </c>
      <c r="HC26">
        <f t="shared" si="53"/>
        <v>0</v>
      </c>
      <c r="HE26" t="s">
        <v>3</v>
      </c>
      <c r="HF26" t="s">
        <v>3</v>
      </c>
      <c r="HM26" t="s">
        <v>3</v>
      </c>
      <c r="HN26" t="s">
        <v>36</v>
      </c>
      <c r="HO26" t="s">
        <v>37</v>
      </c>
      <c r="HP26" t="s">
        <v>35</v>
      </c>
      <c r="HQ26" t="s">
        <v>35</v>
      </c>
      <c r="IK26">
        <v>0</v>
      </c>
    </row>
    <row r="27" spans="1:245" x14ac:dyDescent="0.2">
      <c r="A27">
        <v>17</v>
      </c>
      <c r="B27">
        <v>1</v>
      </c>
      <c r="C27">
        <f>ROW(SmtRes!A7)</f>
        <v>7</v>
      </c>
      <c r="D27">
        <f>ROW(EtalonRes!A7)</f>
        <v>7</v>
      </c>
      <c r="E27" t="s">
        <v>38</v>
      </c>
      <c r="F27" t="s">
        <v>39</v>
      </c>
      <c r="G27" t="s">
        <v>40</v>
      </c>
      <c r="H27" t="s">
        <v>33</v>
      </c>
      <c r="I27">
        <f>ROUND(6/100,9)</f>
        <v>0.06</v>
      </c>
      <c r="J27">
        <v>0</v>
      </c>
      <c r="K27">
        <f>ROUND(6/100,9)</f>
        <v>0.06</v>
      </c>
      <c r="O27">
        <f t="shared" si="14"/>
        <v>1329.08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1329.08</v>
      </c>
      <c r="T27">
        <f t="shared" si="19"/>
        <v>0</v>
      </c>
      <c r="U27">
        <f t="shared" si="20"/>
        <v>5.8319999999999999</v>
      </c>
      <c r="V27">
        <f t="shared" si="21"/>
        <v>0</v>
      </c>
      <c r="W27">
        <f t="shared" si="22"/>
        <v>0</v>
      </c>
      <c r="X27">
        <f t="shared" si="23"/>
        <v>1182.8800000000001</v>
      </c>
      <c r="Y27">
        <f t="shared" si="24"/>
        <v>531.63</v>
      </c>
      <c r="AA27">
        <v>40777027</v>
      </c>
      <c r="AB27">
        <f t="shared" si="25"/>
        <v>681.37</v>
      </c>
      <c r="AC27">
        <f t="shared" si="26"/>
        <v>0</v>
      </c>
      <c r="AD27">
        <f t="shared" si="27"/>
        <v>0</v>
      </c>
      <c r="AE27">
        <f t="shared" si="28"/>
        <v>0</v>
      </c>
      <c r="AF27">
        <f t="shared" si="29"/>
        <v>681.37</v>
      </c>
      <c r="AG27">
        <f t="shared" si="30"/>
        <v>0</v>
      </c>
      <c r="AH27">
        <f t="shared" si="31"/>
        <v>97.2</v>
      </c>
      <c r="AI27">
        <f t="shared" si="32"/>
        <v>0</v>
      </c>
      <c r="AJ27">
        <f t="shared" si="33"/>
        <v>0</v>
      </c>
      <c r="AK27">
        <v>681.37</v>
      </c>
      <c r="AL27">
        <v>0</v>
      </c>
      <c r="AM27">
        <v>0</v>
      </c>
      <c r="AN27">
        <v>0</v>
      </c>
      <c r="AO27">
        <v>681.37</v>
      </c>
      <c r="AP27">
        <v>0</v>
      </c>
      <c r="AQ27">
        <v>97.2</v>
      </c>
      <c r="AR27">
        <v>0</v>
      </c>
      <c r="AS27">
        <v>0</v>
      </c>
      <c r="AT27">
        <v>89</v>
      </c>
      <c r="AU27">
        <v>40</v>
      </c>
      <c r="AV27">
        <v>1</v>
      </c>
      <c r="AW27">
        <v>1</v>
      </c>
      <c r="AZ27">
        <v>1</v>
      </c>
      <c r="BA27">
        <v>32.51</v>
      </c>
      <c r="BB27">
        <v>1</v>
      </c>
      <c r="BC27">
        <v>1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1</v>
      </c>
      <c r="BJ27" t="s">
        <v>41</v>
      </c>
      <c r="BM27">
        <v>1003</v>
      </c>
      <c r="BN27">
        <v>0</v>
      </c>
      <c r="BO27" t="s">
        <v>39</v>
      </c>
      <c r="BP27">
        <v>1</v>
      </c>
      <c r="BQ27">
        <v>2</v>
      </c>
      <c r="BR27">
        <v>0</v>
      </c>
      <c r="BS27">
        <v>32.51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89</v>
      </c>
      <c r="CA27">
        <v>40</v>
      </c>
      <c r="CB27" t="s">
        <v>3</v>
      </c>
      <c r="CE27">
        <v>0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4"/>
        <v>1329.08</v>
      </c>
      <c r="CQ27">
        <f t="shared" si="35"/>
        <v>0</v>
      </c>
      <c r="CR27">
        <f t="shared" si="36"/>
        <v>0</v>
      </c>
      <c r="CS27">
        <f t="shared" si="37"/>
        <v>0</v>
      </c>
      <c r="CT27">
        <f t="shared" si="38"/>
        <v>22151.3387</v>
      </c>
      <c r="CU27">
        <f t="shared" si="39"/>
        <v>0</v>
      </c>
      <c r="CV27">
        <f t="shared" si="40"/>
        <v>97.2</v>
      </c>
      <c r="CW27">
        <f t="shared" si="41"/>
        <v>0</v>
      </c>
      <c r="CX27">
        <f t="shared" si="42"/>
        <v>0</v>
      </c>
      <c r="CY27">
        <f t="shared" si="43"/>
        <v>1182.8812</v>
      </c>
      <c r="CZ27">
        <f t="shared" si="44"/>
        <v>531.63199999999995</v>
      </c>
      <c r="DC27" t="s">
        <v>3</v>
      </c>
      <c r="DD27" t="s">
        <v>19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1013</v>
      </c>
      <c r="DV27" t="s">
        <v>33</v>
      </c>
      <c r="DW27" t="s">
        <v>33</v>
      </c>
      <c r="DX27">
        <v>1</v>
      </c>
      <c r="DZ27" t="s">
        <v>3</v>
      </c>
      <c r="EA27" t="s">
        <v>3</v>
      </c>
      <c r="EB27" t="s">
        <v>3</v>
      </c>
      <c r="EC27" t="s">
        <v>3</v>
      </c>
      <c r="EE27">
        <v>40523160</v>
      </c>
      <c r="EF27">
        <v>2</v>
      </c>
      <c r="EG27" t="s">
        <v>20</v>
      </c>
      <c r="EH27">
        <v>1</v>
      </c>
      <c r="EI27" t="s">
        <v>21</v>
      </c>
      <c r="EJ27">
        <v>1</v>
      </c>
      <c r="EK27">
        <v>1003</v>
      </c>
      <c r="EL27" t="s">
        <v>35</v>
      </c>
      <c r="EM27" t="s">
        <v>23</v>
      </c>
      <c r="EO27" t="s">
        <v>3</v>
      </c>
      <c r="EQ27">
        <v>0</v>
      </c>
      <c r="ER27">
        <v>681.37</v>
      </c>
      <c r="ES27">
        <v>0</v>
      </c>
      <c r="ET27">
        <v>0</v>
      </c>
      <c r="EU27">
        <v>0</v>
      </c>
      <c r="EV27">
        <v>681.37</v>
      </c>
      <c r="EW27">
        <v>97.2</v>
      </c>
      <c r="EX27">
        <v>0</v>
      </c>
      <c r="EY27">
        <v>0</v>
      </c>
      <c r="FQ27">
        <v>0</v>
      </c>
      <c r="FR27">
        <f t="shared" si="45"/>
        <v>0</v>
      </c>
      <c r="FS27">
        <v>0</v>
      </c>
      <c r="FX27">
        <v>89</v>
      </c>
      <c r="FY27">
        <v>40</v>
      </c>
      <c r="GA27" t="s">
        <v>3</v>
      </c>
      <c r="GD27">
        <v>1</v>
      </c>
      <c r="GF27">
        <v>-570049592</v>
      </c>
      <c r="GG27">
        <v>2</v>
      </c>
      <c r="GH27">
        <v>1</v>
      </c>
      <c r="GI27">
        <v>2</v>
      </c>
      <c r="GJ27">
        <v>0</v>
      </c>
      <c r="GK27">
        <v>0</v>
      </c>
      <c r="GL27">
        <f t="shared" si="46"/>
        <v>0</v>
      </c>
      <c r="GM27">
        <f t="shared" si="47"/>
        <v>3043.59</v>
      </c>
      <c r="GN27">
        <f t="shared" si="48"/>
        <v>3043.59</v>
      </c>
      <c r="GO27">
        <f t="shared" si="49"/>
        <v>0</v>
      </c>
      <c r="GP27">
        <f t="shared" si="50"/>
        <v>0</v>
      </c>
      <c r="GR27">
        <v>0</v>
      </c>
      <c r="GS27">
        <v>3</v>
      </c>
      <c r="GT27">
        <v>0</v>
      </c>
      <c r="GU27" t="s">
        <v>3</v>
      </c>
      <c r="GV27">
        <f t="shared" si="51"/>
        <v>0</v>
      </c>
      <c r="GW27">
        <v>1</v>
      </c>
      <c r="GX27">
        <f t="shared" si="52"/>
        <v>0</v>
      </c>
      <c r="HA27">
        <v>0</v>
      </c>
      <c r="HB27">
        <v>0</v>
      </c>
      <c r="HC27">
        <f t="shared" si="53"/>
        <v>0</v>
      </c>
      <c r="HE27" t="s">
        <v>3</v>
      </c>
      <c r="HF27" t="s">
        <v>3</v>
      </c>
      <c r="HM27" t="s">
        <v>3</v>
      </c>
      <c r="HN27" t="s">
        <v>36</v>
      </c>
      <c r="HO27" t="s">
        <v>37</v>
      </c>
      <c r="HP27" t="s">
        <v>35</v>
      </c>
      <c r="HQ27" t="s">
        <v>35</v>
      </c>
      <c r="IK27">
        <v>0</v>
      </c>
    </row>
    <row r="28" spans="1:245" x14ac:dyDescent="0.2">
      <c r="A28">
        <v>17</v>
      </c>
      <c r="B28">
        <v>1</v>
      </c>
      <c r="C28">
        <f>ROW(SmtRes!A11)</f>
        <v>11</v>
      </c>
      <c r="D28">
        <f>ROW(EtalonRes!A11)</f>
        <v>11</v>
      </c>
      <c r="E28" t="s">
        <v>42</v>
      </c>
      <c r="F28" t="s">
        <v>43</v>
      </c>
      <c r="G28" t="s">
        <v>44</v>
      </c>
      <c r="H28" t="s">
        <v>45</v>
      </c>
      <c r="I28">
        <v>1.4E-2</v>
      </c>
      <c r="J28">
        <v>0</v>
      </c>
      <c r="K28">
        <v>1.4E-2</v>
      </c>
      <c r="O28">
        <f t="shared" si="14"/>
        <v>478.22</v>
      </c>
      <c r="P28">
        <f t="shared" si="15"/>
        <v>0</v>
      </c>
      <c r="Q28">
        <f t="shared" si="16"/>
        <v>0</v>
      </c>
      <c r="R28">
        <f t="shared" si="17"/>
        <v>0</v>
      </c>
      <c r="S28">
        <f t="shared" si="18"/>
        <v>478.22</v>
      </c>
      <c r="T28">
        <f t="shared" si="19"/>
        <v>0</v>
      </c>
      <c r="U28">
        <f t="shared" si="20"/>
        <v>1.8620000000000001</v>
      </c>
      <c r="V28">
        <f t="shared" si="21"/>
        <v>0</v>
      </c>
      <c r="W28">
        <f t="shared" si="22"/>
        <v>0</v>
      </c>
      <c r="X28">
        <f t="shared" si="23"/>
        <v>468.66</v>
      </c>
      <c r="Y28">
        <f t="shared" si="24"/>
        <v>277.37</v>
      </c>
      <c r="AA28">
        <v>40777027</v>
      </c>
      <c r="AB28">
        <f t="shared" si="25"/>
        <v>1050.7</v>
      </c>
      <c r="AC28">
        <f t="shared" si="26"/>
        <v>0</v>
      </c>
      <c r="AD28">
        <f t="shared" si="27"/>
        <v>0</v>
      </c>
      <c r="AE28">
        <f t="shared" si="28"/>
        <v>0</v>
      </c>
      <c r="AF28">
        <f t="shared" si="29"/>
        <v>1050.7</v>
      </c>
      <c r="AG28">
        <f t="shared" si="30"/>
        <v>0</v>
      </c>
      <c r="AH28">
        <f t="shared" si="31"/>
        <v>133</v>
      </c>
      <c r="AI28">
        <f t="shared" si="32"/>
        <v>0</v>
      </c>
      <c r="AJ28">
        <f t="shared" si="33"/>
        <v>0</v>
      </c>
      <c r="AK28">
        <v>33416.46</v>
      </c>
      <c r="AL28">
        <v>32365.759999999998</v>
      </c>
      <c r="AM28">
        <v>0</v>
      </c>
      <c r="AN28">
        <v>0</v>
      </c>
      <c r="AO28">
        <v>1050.7</v>
      </c>
      <c r="AP28">
        <v>0</v>
      </c>
      <c r="AQ28">
        <v>133</v>
      </c>
      <c r="AR28">
        <v>0</v>
      </c>
      <c r="AS28">
        <v>0</v>
      </c>
      <c r="AT28">
        <v>98</v>
      </c>
      <c r="AU28">
        <v>58</v>
      </c>
      <c r="AV28">
        <v>1</v>
      </c>
      <c r="AW28">
        <v>1</v>
      </c>
      <c r="AZ28">
        <v>1</v>
      </c>
      <c r="BA28">
        <v>32.51</v>
      </c>
      <c r="BB28">
        <v>1</v>
      </c>
      <c r="BC28">
        <v>10.69</v>
      </c>
      <c r="BD28" t="s">
        <v>3</v>
      </c>
      <c r="BE28" t="s">
        <v>3</v>
      </c>
      <c r="BF28" t="s">
        <v>3</v>
      </c>
      <c r="BG28" t="s">
        <v>3</v>
      </c>
      <c r="BH28">
        <v>0</v>
      </c>
      <c r="BI28">
        <v>1</v>
      </c>
      <c r="BJ28" t="s">
        <v>46</v>
      </c>
      <c r="BM28">
        <v>34001</v>
      </c>
      <c r="BN28">
        <v>0</v>
      </c>
      <c r="BO28" t="s">
        <v>43</v>
      </c>
      <c r="BP28">
        <v>1</v>
      </c>
      <c r="BQ28">
        <v>2</v>
      </c>
      <c r="BR28">
        <v>0</v>
      </c>
      <c r="BS28">
        <v>32.51</v>
      </c>
      <c r="BT28">
        <v>1</v>
      </c>
      <c r="BU28">
        <v>1</v>
      </c>
      <c r="BV28">
        <v>1</v>
      </c>
      <c r="BW28">
        <v>1</v>
      </c>
      <c r="BX28">
        <v>1</v>
      </c>
      <c r="BY28" t="s">
        <v>3</v>
      </c>
      <c r="BZ28">
        <v>98</v>
      </c>
      <c r="CA28">
        <v>58</v>
      </c>
      <c r="CB28" t="s">
        <v>3</v>
      </c>
      <c r="CE28">
        <v>0</v>
      </c>
      <c r="CF28">
        <v>0</v>
      </c>
      <c r="CG28">
        <v>0</v>
      </c>
      <c r="CM28">
        <v>0</v>
      </c>
      <c r="CN28" t="s">
        <v>3</v>
      </c>
      <c r="CO28">
        <v>0</v>
      </c>
      <c r="CP28">
        <f t="shared" si="34"/>
        <v>478.22</v>
      </c>
      <c r="CQ28">
        <f t="shared" si="35"/>
        <v>0</v>
      </c>
      <c r="CR28">
        <f t="shared" si="36"/>
        <v>0</v>
      </c>
      <c r="CS28">
        <f t="shared" si="37"/>
        <v>0</v>
      </c>
      <c r="CT28">
        <f t="shared" si="38"/>
        <v>34158.256999999998</v>
      </c>
      <c r="CU28">
        <f t="shared" si="39"/>
        <v>0</v>
      </c>
      <c r="CV28">
        <f t="shared" si="40"/>
        <v>133</v>
      </c>
      <c r="CW28">
        <f t="shared" si="41"/>
        <v>0</v>
      </c>
      <c r="CX28">
        <f t="shared" si="42"/>
        <v>0</v>
      </c>
      <c r="CY28">
        <f t="shared" si="43"/>
        <v>468.65560000000005</v>
      </c>
      <c r="CZ28">
        <f t="shared" si="44"/>
        <v>277.36760000000004</v>
      </c>
      <c r="DC28" t="s">
        <v>3</v>
      </c>
      <c r="DD28" t="s">
        <v>19</v>
      </c>
      <c r="DE28" t="s">
        <v>3</v>
      </c>
      <c r="DF28" t="s">
        <v>3</v>
      </c>
      <c r="DG28" t="s">
        <v>3</v>
      </c>
      <c r="DH28" t="s">
        <v>3</v>
      </c>
      <c r="DI28" t="s">
        <v>3</v>
      </c>
      <c r="DJ28" t="s">
        <v>3</v>
      </c>
      <c r="DK28" t="s">
        <v>3</v>
      </c>
      <c r="DL28" t="s">
        <v>3</v>
      </c>
      <c r="DM28" t="s">
        <v>3</v>
      </c>
      <c r="DN28">
        <v>0</v>
      </c>
      <c r="DO28">
        <v>0</v>
      </c>
      <c r="DP28">
        <v>1</v>
      </c>
      <c r="DQ28">
        <v>1</v>
      </c>
      <c r="DU28">
        <v>1013</v>
      </c>
      <c r="DV28" t="s">
        <v>45</v>
      </c>
      <c r="DW28" t="s">
        <v>45</v>
      </c>
      <c r="DX28">
        <v>1</v>
      </c>
      <c r="DZ28" t="s">
        <v>3</v>
      </c>
      <c r="EA28" t="s">
        <v>3</v>
      </c>
      <c r="EB28" t="s">
        <v>3</v>
      </c>
      <c r="EC28" t="s">
        <v>3</v>
      </c>
      <c r="EE28">
        <v>40523279</v>
      </c>
      <c r="EF28">
        <v>2</v>
      </c>
      <c r="EG28" t="s">
        <v>20</v>
      </c>
      <c r="EH28">
        <v>28</v>
      </c>
      <c r="EI28" t="s">
        <v>47</v>
      </c>
      <c r="EJ28">
        <v>1</v>
      </c>
      <c r="EK28">
        <v>34001</v>
      </c>
      <c r="EL28" t="s">
        <v>48</v>
      </c>
      <c r="EM28" t="s">
        <v>49</v>
      </c>
      <c r="EO28" t="s">
        <v>3</v>
      </c>
      <c r="EQ28">
        <v>0</v>
      </c>
      <c r="ER28">
        <v>33416.46</v>
      </c>
      <c r="ES28">
        <v>32365.759999999998</v>
      </c>
      <c r="ET28">
        <v>0</v>
      </c>
      <c r="EU28">
        <v>0</v>
      </c>
      <c r="EV28">
        <v>1050.7</v>
      </c>
      <c r="EW28">
        <v>133</v>
      </c>
      <c r="EX28">
        <v>0</v>
      </c>
      <c r="EY28">
        <v>0</v>
      </c>
      <c r="FQ28">
        <v>0</v>
      </c>
      <c r="FR28">
        <f t="shared" si="45"/>
        <v>0</v>
      </c>
      <c r="FS28">
        <v>0</v>
      </c>
      <c r="FX28">
        <v>98</v>
      </c>
      <c r="FY28">
        <v>58</v>
      </c>
      <c r="GA28" t="s">
        <v>3</v>
      </c>
      <c r="GD28">
        <v>1</v>
      </c>
      <c r="GF28">
        <v>-1978359648</v>
      </c>
      <c r="GG28">
        <v>2</v>
      </c>
      <c r="GH28">
        <v>1</v>
      </c>
      <c r="GI28">
        <v>2</v>
      </c>
      <c r="GJ28">
        <v>0</v>
      </c>
      <c r="GK28">
        <v>0</v>
      </c>
      <c r="GL28">
        <f t="shared" si="46"/>
        <v>0</v>
      </c>
      <c r="GM28">
        <f t="shared" si="47"/>
        <v>1224.25</v>
      </c>
      <c r="GN28">
        <f t="shared" si="48"/>
        <v>1224.25</v>
      </c>
      <c r="GO28">
        <f t="shared" si="49"/>
        <v>0</v>
      </c>
      <c r="GP28">
        <f t="shared" si="50"/>
        <v>0</v>
      </c>
      <c r="GR28">
        <v>0</v>
      </c>
      <c r="GS28">
        <v>3</v>
      </c>
      <c r="GT28">
        <v>0</v>
      </c>
      <c r="GU28" t="s">
        <v>3</v>
      </c>
      <c r="GV28">
        <f t="shared" si="51"/>
        <v>0</v>
      </c>
      <c r="GW28">
        <v>1</v>
      </c>
      <c r="GX28">
        <f t="shared" si="52"/>
        <v>0</v>
      </c>
      <c r="HA28">
        <v>0</v>
      </c>
      <c r="HB28">
        <v>0</v>
      </c>
      <c r="HC28">
        <f t="shared" si="53"/>
        <v>0</v>
      </c>
      <c r="HE28" t="s">
        <v>3</v>
      </c>
      <c r="HF28" t="s">
        <v>3</v>
      </c>
      <c r="HM28" t="s">
        <v>3</v>
      </c>
      <c r="HN28" t="s">
        <v>50</v>
      </c>
      <c r="HO28" t="s">
        <v>51</v>
      </c>
      <c r="HP28" t="s">
        <v>52</v>
      </c>
      <c r="HQ28" t="s">
        <v>52</v>
      </c>
      <c r="IK28">
        <v>0</v>
      </c>
    </row>
    <row r="29" spans="1:245" x14ac:dyDescent="0.2">
      <c r="A29">
        <v>17</v>
      </c>
      <c r="B29">
        <v>1</v>
      </c>
      <c r="C29">
        <f>ROW(SmtRes!A16)</f>
        <v>16</v>
      </c>
      <c r="D29">
        <f>ROW(EtalonRes!A16)</f>
        <v>16</v>
      </c>
      <c r="E29" t="s">
        <v>53</v>
      </c>
      <c r="F29" t="s">
        <v>54</v>
      </c>
      <c r="G29" t="s">
        <v>55</v>
      </c>
      <c r="H29" t="s">
        <v>56</v>
      </c>
      <c r="I29">
        <v>24</v>
      </c>
      <c r="J29">
        <v>0</v>
      </c>
      <c r="K29">
        <v>24</v>
      </c>
      <c r="O29">
        <f t="shared" si="14"/>
        <v>2668.42</v>
      </c>
      <c r="P29">
        <f t="shared" si="15"/>
        <v>0</v>
      </c>
      <c r="Q29">
        <f t="shared" si="16"/>
        <v>0</v>
      </c>
      <c r="R29">
        <f t="shared" si="17"/>
        <v>0</v>
      </c>
      <c r="S29">
        <f t="shared" si="18"/>
        <v>2668.42</v>
      </c>
      <c r="T29">
        <f t="shared" si="19"/>
        <v>0</v>
      </c>
      <c r="U29">
        <f t="shared" si="20"/>
        <v>9.120000000000001</v>
      </c>
      <c r="V29">
        <f t="shared" si="21"/>
        <v>0</v>
      </c>
      <c r="W29">
        <f t="shared" si="22"/>
        <v>0</v>
      </c>
      <c r="X29">
        <f t="shared" si="23"/>
        <v>2588.37</v>
      </c>
      <c r="Y29">
        <f t="shared" si="24"/>
        <v>1360.89</v>
      </c>
      <c r="AA29">
        <v>40777027</v>
      </c>
      <c r="AB29">
        <f t="shared" si="25"/>
        <v>3.42</v>
      </c>
      <c r="AC29">
        <f t="shared" si="26"/>
        <v>0</v>
      </c>
      <c r="AD29">
        <f t="shared" si="27"/>
        <v>0</v>
      </c>
      <c r="AE29">
        <f t="shared" si="28"/>
        <v>0</v>
      </c>
      <c r="AF29">
        <f t="shared" si="29"/>
        <v>3.42</v>
      </c>
      <c r="AG29">
        <f t="shared" si="30"/>
        <v>0</v>
      </c>
      <c r="AH29">
        <f t="shared" si="31"/>
        <v>0.38</v>
      </c>
      <c r="AI29">
        <f t="shared" si="32"/>
        <v>0</v>
      </c>
      <c r="AJ29">
        <f t="shared" si="33"/>
        <v>0</v>
      </c>
      <c r="AK29">
        <v>18.68</v>
      </c>
      <c r="AL29">
        <v>15.26</v>
      </c>
      <c r="AM29">
        <v>0</v>
      </c>
      <c r="AN29">
        <v>0</v>
      </c>
      <c r="AO29">
        <v>3.42</v>
      </c>
      <c r="AP29">
        <v>0</v>
      </c>
      <c r="AQ29">
        <v>0.38</v>
      </c>
      <c r="AR29">
        <v>0</v>
      </c>
      <c r="AS29">
        <v>0</v>
      </c>
      <c r="AT29">
        <v>97</v>
      </c>
      <c r="AU29">
        <v>51</v>
      </c>
      <c r="AV29">
        <v>1</v>
      </c>
      <c r="AW29">
        <v>1</v>
      </c>
      <c r="AZ29">
        <v>1</v>
      </c>
      <c r="BA29">
        <v>32.51</v>
      </c>
      <c r="BB29">
        <v>1</v>
      </c>
      <c r="BC29">
        <v>7.49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2</v>
      </c>
      <c r="BJ29" t="s">
        <v>57</v>
      </c>
      <c r="BM29">
        <v>108001</v>
      </c>
      <c r="BN29">
        <v>0</v>
      </c>
      <c r="BO29" t="s">
        <v>54</v>
      </c>
      <c r="BP29">
        <v>1</v>
      </c>
      <c r="BQ29">
        <v>3</v>
      </c>
      <c r="BR29">
        <v>0</v>
      </c>
      <c r="BS29">
        <v>32.51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97</v>
      </c>
      <c r="CA29">
        <v>51</v>
      </c>
      <c r="CB29" t="s">
        <v>3</v>
      </c>
      <c r="CE29">
        <v>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4"/>
        <v>2668.42</v>
      </c>
      <c r="CQ29">
        <f t="shared" si="35"/>
        <v>0</v>
      </c>
      <c r="CR29">
        <f t="shared" si="36"/>
        <v>0</v>
      </c>
      <c r="CS29">
        <f t="shared" si="37"/>
        <v>0</v>
      </c>
      <c r="CT29">
        <f t="shared" si="38"/>
        <v>111.18419999999999</v>
      </c>
      <c r="CU29">
        <f t="shared" si="39"/>
        <v>0</v>
      </c>
      <c r="CV29">
        <f t="shared" si="40"/>
        <v>0.38</v>
      </c>
      <c r="CW29">
        <f t="shared" si="41"/>
        <v>0</v>
      </c>
      <c r="CX29">
        <f t="shared" si="42"/>
        <v>0</v>
      </c>
      <c r="CY29">
        <f t="shared" si="43"/>
        <v>2588.3674000000001</v>
      </c>
      <c r="CZ29">
        <f t="shared" si="44"/>
        <v>1360.8942000000002</v>
      </c>
      <c r="DC29" t="s">
        <v>3</v>
      </c>
      <c r="DD29" t="s">
        <v>19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1013</v>
      </c>
      <c r="DV29" t="s">
        <v>56</v>
      </c>
      <c r="DW29" t="s">
        <v>56</v>
      </c>
      <c r="DX29">
        <v>1</v>
      </c>
      <c r="DZ29" t="s">
        <v>3</v>
      </c>
      <c r="EA29" t="s">
        <v>3</v>
      </c>
      <c r="EB29" t="s">
        <v>3</v>
      </c>
      <c r="EC29" t="s">
        <v>3</v>
      </c>
      <c r="EE29">
        <v>40523018</v>
      </c>
      <c r="EF29">
        <v>3</v>
      </c>
      <c r="EG29" t="s">
        <v>58</v>
      </c>
      <c r="EH29">
        <v>0</v>
      </c>
      <c r="EI29" t="s">
        <v>3</v>
      </c>
      <c r="EJ29">
        <v>2</v>
      </c>
      <c r="EK29">
        <v>108001</v>
      </c>
      <c r="EL29" t="s">
        <v>59</v>
      </c>
      <c r="EM29" t="s">
        <v>60</v>
      </c>
      <c r="EO29" t="s">
        <v>3</v>
      </c>
      <c r="EQ29">
        <v>0</v>
      </c>
      <c r="ER29">
        <v>18.68</v>
      </c>
      <c r="ES29">
        <v>15.26</v>
      </c>
      <c r="ET29">
        <v>0</v>
      </c>
      <c r="EU29">
        <v>0</v>
      </c>
      <c r="EV29">
        <v>3.42</v>
      </c>
      <c r="EW29">
        <v>0.38</v>
      </c>
      <c r="EX29">
        <v>0</v>
      </c>
      <c r="EY29">
        <v>0</v>
      </c>
      <c r="FQ29">
        <v>0</v>
      </c>
      <c r="FR29">
        <f t="shared" si="45"/>
        <v>0</v>
      </c>
      <c r="FS29">
        <v>0</v>
      </c>
      <c r="FX29">
        <v>97</v>
      </c>
      <c r="FY29">
        <v>51</v>
      </c>
      <c r="GA29" t="s">
        <v>3</v>
      </c>
      <c r="GD29">
        <v>1</v>
      </c>
      <c r="GF29">
        <v>978687732</v>
      </c>
      <c r="GG29">
        <v>2</v>
      </c>
      <c r="GH29">
        <v>1</v>
      </c>
      <c r="GI29">
        <v>2</v>
      </c>
      <c r="GJ29">
        <v>0</v>
      </c>
      <c r="GK29">
        <v>0</v>
      </c>
      <c r="GL29">
        <f t="shared" si="46"/>
        <v>0</v>
      </c>
      <c r="GM29">
        <f t="shared" si="47"/>
        <v>6617.68</v>
      </c>
      <c r="GN29">
        <f t="shared" si="48"/>
        <v>0</v>
      </c>
      <c r="GO29">
        <f t="shared" si="49"/>
        <v>6617.68</v>
      </c>
      <c r="GP29">
        <f t="shared" si="50"/>
        <v>0</v>
      </c>
      <c r="GR29">
        <v>0</v>
      </c>
      <c r="GS29">
        <v>3</v>
      </c>
      <c r="GT29">
        <v>0</v>
      </c>
      <c r="GU29" t="s">
        <v>3</v>
      </c>
      <c r="GV29">
        <f t="shared" si="51"/>
        <v>0</v>
      </c>
      <c r="GW29">
        <v>1</v>
      </c>
      <c r="GX29">
        <f t="shared" si="52"/>
        <v>0</v>
      </c>
      <c r="HA29">
        <v>0</v>
      </c>
      <c r="HB29">
        <v>0</v>
      </c>
      <c r="HC29">
        <f t="shared" si="53"/>
        <v>0</v>
      </c>
      <c r="HE29" t="s">
        <v>3</v>
      </c>
      <c r="HF29" t="s">
        <v>3</v>
      </c>
      <c r="HM29" t="s">
        <v>3</v>
      </c>
      <c r="HN29" t="s">
        <v>61</v>
      </c>
      <c r="HO29" t="s">
        <v>62</v>
      </c>
      <c r="HP29" t="s">
        <v>59</v>
      </c>
      <c r="HQ29" t="s">
        <v>59</v>
      </c>
      <c r="IK29">
        <v>0</v>
      </c>
    </row>
    <row r="30" spans="1:245" x14ac:dyDescent="0.2">
      <c r="A30">
        <v>17</v>
      </c>
      <c r="B30">
        <v>1</v>
      </c>
      <c r="C30">
        <f>ROW(SmtRes!A26)</f>
        <v>26</v>
      </c>
      <c r="D30">
        <f>ROW(EtalonRes!A26)</f>
        <v>26</v>
      </c>
      <c r="E30" t="s">
        <v>63</v>
      </c>
      <c r="F30" t="s">
        <v>64</v>
      </c>
      <c r="G30" t="s">
        <v>65</v>
      </c>
      <c r="H30" t="s">
        <v>66</v>
      </c>
      <c r="I30">
        <f>ROUND(98/100,9)</f>
        <v>0.98</v>
      </c>
      <c r="J30">
        <v>0</v>
      </c>
      <c r="K30">
        <f>ROUND(98/100,9)</f>
        <v>0.98</v>
      </c>
      <c r="O30">
        <f t="shared" si="14"/>
        <v>7360.29</v>
      </c>
      <c r="P30">
        <f t="shared" si="15"/>
        <v>0</v>
      </c>
      <c r="Q30">
        <f t="shared" si="16"/>
        <v>761.17</v>
      </c>
      <c r="R30">
        <f t="shared" si="17"/>
        <v>77.099999999999994</v>
      </c>
      <c r="S30">
        <f t="shared" si="18"/>
        <v>6599.12</v>
      </c>
      <c r="T30">
        <f t="shared" si="19"/>
        <v>0</v>
      </c>
      <c r="U30">
        <f t="shared" si="20"/>
        <v>22.5792</v>
      </c>
      <c r="V30">
        <f t="shared" si="21"/>
        <v>0.19600000000000001</v>
      </c>
      <c r="W30">
        <f t="shared" si="22"/>
        <v>0</v>
      </c>
      <c r="X30">
        <f t="shared" si="23"/>
        <v>6475.93</v>
      </c>
      <c r="Y30">
        <f t="shared" si="24"/>
        <v>3404.87</v>
      </c>
      <c r="AA30">
        <v>40777027</v>
      </c>
      <c r="AB30">
        <f t="shared" si="25"/>
        <v>297.55</v>
      </c>
      <c r="AC30">
        <f t="shared" si="26"/>
        <v>0</v>
      </c>
      <c r="AD30">
        <f t="shared" si="27"/>
        <v>90.42</v>
      </c>
      <c r="AE30">
        <f t="shared" si="28"/>
        <v>2.42</v>
      </c>
      <c r="AF30">
        <f t="shared" si="29"/>
        <v>207.13</v>
      </c>
      <c r="AG30">
        <f t="shared" si="30"/>
        <v>0</v>
      </c>
      <c r="AH30">
        <f t="shared" si="31"/>
        <v>23.04</v>
      </c>
      <c r="AI30">
        <f t="shared" si="32"/>
        <v>0.2</v>
      </c>
      <c r="AJ30">
        <f t="shared" si="33"/>
        <v>0</v>
      </c>
      <c r="AK30">
        <v>339.16</v>
      </c>
      <c r="AL30">
        <v>41.61</v>
      </c>
      <c r="AM30">
        <v>90.42</v>
      </c>
      <c r="AN30">
        <v>2.42</v>
      </c>
      <c r="AO30">
        <v>207.13</v>
      </c>
      <c r="AP30">
        <v>0</v>
      </c>
      <c r="AQ30">
        <v>23.04</v>
      </c>
      <c r="AR30">
        <v>0.2</v>
      </c>
      <c r="AS30">
        <v>0</v>
      </c>
      <c r="AT30">
        <v>97</v>
      </c>
      <c r="AU30">
        <v>51</v>
      </c>
      <c r="AV30">
        <v>1</v>
      </c>
      <c r="AW30">
        <v>1</v>
      </c>
      <c r="AZ30">
        <v>1</v>
      </c>
      <c r="BA30">
        <v>32.51</v>
      </c>
      <c r="BB30">
        <v>8.59</v>
      </c>
      <c r="BC30">
        <v>9.93</v>
      </c>
      <c r="BD30" t="s">
        <v>3</v>
      </c>
      <c r="BE30" t="s">
        <v>3</v>
      </c>
      <c r="BF30" t="s">
        <v>3</v>
      </c>
      <c r="BG30" t="s">
        <v>3</v>
      </c>
      <c r="BH30">
        <v>0</v>
      </c>
      <c r="BI30">
        <v>2</v>
      </c>
      <c r="BJ30" t="s">
        <v>67</v>
      </c>
      <c r="BM30">
        <v>108001</v>
      </c>
      <c r="BN30">
        <v>0</v>
      </c>
      <c r="BO30" t="s">
        <v>64</v>
      </c>
      <c r="BP30">
        <v>1</v>
      </c>
      <c r="BQ30">
        <v>3</v>
      </c>
      <c r="BR30">
        <v>0</v>
      </c>
      <c r="BS30">
        <v>32.51</v>
      </c>
      <c r="BT30">
        <v>1</v>
      </c>
      <c r="BU30">
        <v>1</v>
      </c>
      <c r="BV30">
        <v>1</v>
      </c>
      <c r="BW30">
        <v>1</v>
      </c>
      <c r="BX30">
        <v>1</v>
      </c>
      <c r="BY30" t="s">
        <v>3</v>
      </c>
      <c r="BZ30">
        <v>97</v>
      </c>
      <c r="CA30">
        <v>51</v>
      </c>
      <c r="CB30" t="s">
        <v>3</v>
      </c>
      <c r="CE30">
        <v>0</v>
      </c>
      <c r="CF30">
        <v>0</v>
      </c>
      <c r="CG30">
        <v>0</v>
      </c>
      <c r="CM30">
        <v>0</v>
      </c>
      <c r="CN30" t="s">
        <v>3</v>
      </c>
      <c r="CO30">
        <v>0</v>
      </c>
      <c r="CP30">
        <f t="shared" si="34"/>
        <v>7360.29</v>
      </c>
      <c r="CQ30">
        <f t="shared" si="35"/>
        <v>0</v>
      </c>
      <c r="CR30">
        <f t="shared" si="36"/>
        <v>776.70780000000002</v>
      </c>
      <c r="CS30">
        <f t="shared" si="37"/>
        <v>78.674199999999999</v>
      </c>
      <c r="CT30">
        <f t="shared" si="38"/>
        <v>6733.7962999999991</v>
      </c>
      <c r="CU30">
        <f t="shared" si="39"/>
        <v>0</v>
      </c>
      <c r="CV30">
        <f t="shared" si="40"/>
        <v>23.04</v>
      </c>
      <c r="CW30">
        <f t="shared" si="41"/>
        <v>0.2</v>
      </c>
      <c r="CX30">
        <f t="shared" si="42"/>
        <v>0</v>
      </c>
      <c r="CY30">
        <f t="shared" si="43"/>
        <v>6475.9333999999999</v>
      </c>
      <c r="CZ30">
        <f t="shared" si="44"/>
        <v>3404.8722000000002</v>
      </c>
      <c r="DC30" t="s">
        <v>3</v>
      </c>
      <c r="DD30" t="s">
        <v>19</v>
      </c>
      <c r="DE30" t="s">
        <v>3</v>
      </c>
      <c r="DF30" t="s">
        <v>3</v>
      </c>
      <c r="DG30" t="s">
        <v>3</v>
      </c>
      <c r="DH30" t="s">
        <v>3</v>
      </c>
      <c r="DI30" t="s">
        <v>3</v>
      </c>
      <c r="DJ30" t="s">
        <v>3</v>
      </c>
      <c r="DK30" t="s">
        <v>3</v>
      </c>
      <c r="DL30" t="s">
        <v>3</v>
      </c>
      <c r="DM30" t="s">
        <v>3</v>
      </c>
      <c r="DN30">
        <v>0</v>
      </c>
      <c r="DO30">
        <v>0</v>
      </c>
      <c r="DP30">
        <v>1</v>
      </c>
      <c r="DQ30">
        <v>1</v>
      </c>
      <c r="DU30">
        <v>1013</v>
      </c>
      <c r="DV30" t="s">
        <v>66</v>
      </c>
      <c r="DW30" t="s">
        <v>66</v>
      </c>
      <c r="DX30">
        <v>1</v>
      </c>
      <c r="DZ30" t="s">
        <v>3</v>
      </c>
      <c r="EA30" t="s">
        <v>3</v>
      </c>
      <c r="EB30" t="s">
        <v>3</v>
      </c>
      <c r="EC30" t="s">
        <v>3</v>
      </c>
      <c r="EE30">
        <v>40523018</v>
      </c>
      <c r="EF30">
        <v>3</v>
      </c>
      <c r="EG30" t="s">
        <v>58</v>
      </c>
      <c r="EH30">
        <v>0</v>
      </c>
      <c r="EI30" t="s">
        <v>3</v>
      </c>
      <c r="EJ30">
        <v>2</v>
      </c>
      <c r="EK30">
        <v>108001</v>
      </c>
      <c r="EL30" t="s">
        <v>59</v>
      </c>
      <c r="EM30" t="s">
        <v>60</v>
      </c>
      <c r="EO30" t="s">
        <v>3</v>
      </c>
      <c r="EQ30">
        <v>0</v>
      </c>
      <c r="ER30">
        <v>339.16</v>
      </c>
      <c r="ES30">
        <v>41.61</v>
      </c>
      <c r="ET30">
        <v>90.42</v>
      </c>
      <c r="EU30">
        <v>2.42</v>
      </c>
      <c r="EV30">
        <v>207.13</v>
      </c>
      <c r="EW30">
        <v>23.04</v>
      </c>
      <c r="EX30">
        <v>0.2</v>
      </c>
      <c r="EY30">
        <v>0</v>
      </c>
      <c r="FQ30">
        <v>0</v>
      </c>
      <c r="FR30">
        <f t="shared" si="45"/>
        <v>0</v>
      </c>
      <c r="FS30">
        <v>0</v>
      </c>
      <c r="FX30">
        <v>97</v>
      </c>
      <c r="FY30">
        <v>51</v>
      </c>
      <c r="GA30" t="s">
        <v>3</v>
      </c>
      <c r="GD30">
        <v>1</v>
      </c>
      <c r="GF30">
        <v>177380879</v>
      </c>
      <c r="GG30">
        <v>2</v>
      </c>
      <c r="GH30">
        <v>1</v>
      </c>
      <c r="GI30">
        <v>2</v>
      </c>
      <c r="GJ30">
        <v>0</v>
      </c>
      <c r="GK30">
        <v>0</v>
      </c>
      <c r="GL30">
        <f t="shared" si="46"/>
        <v>0</v>
      </c>
      <c r="GM30">
        <f t="shared" si="47"/>
        <v>17241.09</v>
      </c>
      <c r="GN30">
        <f t="shared" si="48"/>
        <v>0</v>
      </c>
      <c r="GO30">
        <f t="shared" si="49"/>
        <v>17241.09</v>
      </c>
      <c r="GP30">
        <f t="shared" si="50"/>
        <v>0</v>
      </c>
      <c r="GR30">
        <v>0</v>
      </c>
      <c r="GS30">
        <v>3</v>
      </c>
      <c r="GT30">
        <v>0</v>
      </c>
      <c r="GU30" t="s">
        <v>3</v>
      </c>
      <c r="GV30">
        <f t="shared" si="51"/>
        <v>0</v>
      </c>
      <c r="GW30">
        <v>1</v>
      </c>
      <c r="GX30">
        <f t="shared" si="52"/>
        <v>0</v>
      </c>
      <c r="HA30">
        <v>0</v>
      </c>
      <c r="HB30">
        <v>0</v>
      </c>
      <c r="HC30">
        <f t="shared" si="53"/>
        <v>0</v>
      </c>
      <c r="HE30" t="s">
        <v>3</v>
      </c>
      <c r="HF30" t="s">
        <v>3</v>
      </c>
      <c r="HM30" t="s">
        <v>3</v>
      </c>
      <c r="HN30" t="s">
        <v>61</v>
      </c>
      <c r="HO30" t="s">
        <v>62</v>
      </c>
      <c r="HP30" t="s">
        <v>59</v>
      </c>
      <c r="HQ30" t="s">
        <v>59</v>
      </c>
      <c r="IK30">
        <v>0</v>
      </c>
    </row>
    <row r="31" spans="1:245" x14ac:dyDescent="0.2">
      <c r="A31">
        <v>17</v>
      </c>
      <c r="B31">
        <v>1</v>
      </c>
      <c r="C31">
        <f>ROW(SmtRes!A29)</f>
        <v>29</v>
      </c>
      <c r="D31">
        <f>ROW(EtalonRes!A29)</f>
        <v>29</v>
      </c>
      <c r="E31" t="s">
        <v>68</v>
      </c>
      <c r="F31" t="s">
        <v>69</v>
      </c>
      <c r="G31" t="s">
        <v>70</v>
      </c>
      <c r="H31" t="s">
        <v>66</v>
      </c>
      <c r="I31">
        <f>ROUND(37/100,9)</f>
        <v>0.37</v>
      </c>
      <c r="J31">
        <v>0</v>
      </c>
      <c r="K31">
        <f>ROUND(37/100,9)</f>
        <v>0.37</v>
      </c>
      <c r="O31">
        <f t="shared" si="14"/>
        <v>2408.35</v>
      </c>
      <c r="P31">
        <f t="shared" si="15"/>
        <v>0</v>
      </c>
      <c r="Q31">
        <f t="shared" si="16"/>
        <v>1835.18</v>
      </c>
      <c r="R31">
        <f t="shared" si="17"/>
        <v>0</v>
      </c>
      <c r="S31">
        <f t="shared" si="18"/>
        <v>573.16999999999996</v>
      </c>
      <c r="T31">
        <f t="shared" si="19"/>
        <v>0</v>
      </c>
      <c r="U31">
        <f t="shared" si="20"/>
        <v>1.9609999999999999</v>
      </c>
      <c r="V31">
        <f t="shared" si="21"/>
        <v>0</v>
      </c>
      <c r="W31">
        <f t="shared" si="22"/>
        <v>0</v>
      </c>
      <c r="X31">
        <f t="shared" si="23"/>
        <v>555.97</v>
      </c>
      <c r="Y31">
        <f t="shared" si="24"/>
        <v>292.32</v>
      </c>
      <c r="AA31">
        <v>40777027</v>
      </c>
      <c r="AB31">
        <f t="shared" si="25"/>
        <v>405.51</v>
      </c>
      <c r="AC31">
        <f t="shared" si="26"/>
        <v>0</v>
      </c>
      <c r="AD31">
        <f t="shared" si="27"/>
        <v>357.86</v>
      </c>
      <c r="AE31">
        <f t="shared" si="28"/>
        <v>0</v>
      </c>
      <c r="AF31">
        <f t="shared" si="29"/>
        <v>47.65</v>
      </c>
      <c r="AG31">
        <f t="shared" si="30"/>
        <v>0</v>
      </c>
      <c r="AH31">
        <f t="shared" si="31"/>
        <v>5.3</v>
      </c>
      <c r="AI31">
        <f t="shared" si="32"/>
        <v>0</v>
      </c>
      <c r="AJ31">
        <f t="shared" si="33"/>
        <v>0</v>
      </c>
      <c r="AK31">
        <v>406.46</v>
      </c>
      <c r="AL31">
        <v>0.95</v>
      </c>
      <c r="AM31">
        <v>357.86</v>
      </c>
      <c r="AN31">
        <v>0</v>
      </c>
      <c r="AO31">
        <v>47.65</v>
      </c>
      <c r="AP31">
        <v>0</v>
      </c>
      <c r="AQ31">
        <v>5.3</v>
      </c>
      <c r="AR31">
        <v>0</v>
      </c>
      <c r="AS31">
        <v>0</v>
      </c>
      <c r="AT31">
        <v>97</v>
      </c>
      <c r="AU31">
        <v>51</v>
      </c>
      <c r="AV31">
        <v>1</v>
      </c>
      <c r="AW31">
        <v>1</v>
      </c>
      <c r="AZ31">
        <v>1</v>
      </c>
      <c r="BA31">
        <v>32.51</v>
      </c>
      <c r="BB31">
        <v>13.86</v>
      </c>
      <c r="BC31">
        <v>32.61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2</v>
      </c>
      <c r="BJ31" t="s">
        <v>71</v>
      </c>
      <c r="BM31">
        <v>108001</v>
      </c>
      <c r="BN31">
        <v>0</v>
      </c>
      <c r="BO31" t="s">
        <v>69</v>
      </c>
      <c r="BP31">
        <v>1</v>
      </c>
      <c r="BQ31">
        <v>3</v>
      </c>
      <c r="BR31">
        <v>0</v>
      </c>
      <c r="BS31">
        <v>32.51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97</v>
      </c>
      <c r="CA31">
        <v>51</v>
      </c>
      <c r="CB31" t="s">
        <v>3</v>
      </c>
      <c r="CE31">
        <v>0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4"/>
        <v>2408.35</v>
      </c>
      <c r="CQ31">
        <f t="shared" si="35"/>
        <v>0</v>
      </c>
      <c r="CR31">
        <f t="shared" si="36"/>
        <v>4959.9395999999997</v>
      </c>
      <c r="CS31">
        <f t="shared" si="37"/>
        <v>0</v>
      </c>
      <c r="CT31">
        <f t="shared" si="38"/>
        <v>1549.1014999999998</v>
      </c>
      <c r="CU31">
        <f t="shared" si="39"/>
        <v>0</v>
      </c>
      <c r="CV31">
        <f t="shared" si="40"/>
        <v>5.3</v>
      </c>
      <c r="CW31">
        <f t="shared" si="41"/>
        <v>0</v>
      </c>
      <c r="CX31">
        <f t="shared" si="42"/>
        <v>0</v>
      </c>
      <c r="CY31">
        <f t="shared" si="43"/>
        <v>555.97489999999993</v>
      </c>
      <c r="CZ31">
        <f t="shared" si="44"/>
        <v>292.31669999999997</v>
      </c>
      <c r="DC31" t="s">
        <v>3</v>
      </c>
      <c r="DD31" t="s">
        <v>19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1013</v>
      </c>
      <c r="DV31" t="s">
        <v>66</v>
      </c>
      <c r="DW31" t="s">
        <v>66</v>
      </c>
      <c r="DX31">
        <v>1</v>
      </c>
      <c r="DZ31" t="s">
        <v>3</v>
      </c>
      <c r="EA31" t="s">
        <v>3</v>
      </c>
      <c r="EB31" t="s">
        <v>3</v>
      </c>
      <c r="EC31" t="s">
        <v>3</v>
      </c>
      <c r="EE31">
        <v>40523018</v>
      </c>
      <c r="EF31">
        <v>3</v>
      </c>
      <c r="EG31" t="s">
        <v>58</v>
      </c>
      <c r="EH31">
        <v>0</v>
      </c>
      <c r="EI31" t="s">
        <v>3</v>
      </c>
      <c r="EJ31">
        <v>2</v>
      </c>
      <c r="EK31">
        <v>108001</v>
      </c>
      <c r="EL31" t="s">
        <v>59</v>
      </c>
      <c r="EM31" t="s">
        <v>60</v>
      </c>
      <c r="EO31" t="s">
        <v>3</v>
      </c>
      <c r="EQ31">
        <v>0</v>
      </c>
      <c r="ER31">
        <v>406.46</v>
      </c>
      <c r="ES31">
        <v>0.95</v>
      </c>
      <c r="ET31">
        <v>357.86</v>
      </c>
      <c r="EU31">
        <v>0</v>
      </c>
      <c r="EV31">
        <v>47.65</v>
      </c>
      <c r="EW31">
        <v>5.3</v>
      </c>
      <c r="EX31">
        <v>0</v>
      </c>
      <c r="EY31">
        <v>0</v>
      </c>
      <c r="FQ31">
        <v>0</v>
      </c>
      <c r="FR31">
        <f t="shared" si="45"/>
        <v>0</v>
      </c>
      <c r="FS31">
        <v>0</v>
      </c>
      <c r="FX31">
        <v>97</v>
      </c>
      <c r="FY31">
        <v>51</v>
      </c>
      <c r="GA31" t="s">
        <v>3</v>
      </c>
      <c r="GD31">
        <v>1</v>
      </c>
      <c r="GF31">
        <v>1457168555</v>
      </c>
      <c r="GG31">
        <v>2</v>
      </c>
      <c r="GH31">
        <v>1</v>
      </c>
      <c r="GI31">
        <v>2</v>
      </c>
      <c r="GJ31">
        <v>0</v>
      </c>
      <c r="GK31">
        <v>0</v>
      </c>
      <c r="GL31">
        <f t="shared" si="46"/>
        <v>0</v>
      </c>
      <c r="GM31">
        <f t="shared" si="47"/>
        <v>3256.64</v>
      </c>
      <c r="GN31">
        <f t="shared" si="48"/>
        <v>0</v>
      </c>
      <c r="GO31">
        <f t="shared" si="49"/>
        <v>3256.64</v>
      </c>
      <c r="GP31">
        <f t="shared" si="50"/>
        <v>0</v>
      </c>
      <c r="GR31">
        <v>0</v>
      </c>
      <c r="GS31">
        <v>3</v>
      </c>
      <c r="GT31">
        <v>0</v>
      </c>
      <c r="GU31" t="s">
        <v>3</v>
      </c>
      <c r="GV31">
        <f t="shared" si="51"/>
        <v>0</v>
      </c>
      <c r="GW31">
        <v>1</v>
      </c>
      <c r="GX31">
        <f t="shared" si="52"/>
        <v>0</v>
      </c>
      <c r="HA31">
        <v>0</v>
      </c>
      <c r="HB31">
        <v>0</v>
      </c>
      <c r="HC31">
        <f t="shared" si="53"/>
        <v>0</v>
      </c>
      <c r="HE31" t="s">
        <v>3</v>
      </c>
      <c r="HF31" t="s">
        <v>3</v>
      </c>
      <c r="HM31" t="s">
        <v>3</v>
      </c>
      <c r="HN31" t="s">
        <v>61</v>
      </c>
      <c r="HO31" t="s">
        <v>62</v>
      </c>
      <c r="HP31" t="s">
        <v>59</v>
      </c>
      <c r="HQ31" t="s">
        <v>59</v>
      </c>
      <c r="IK31">
        <v>0</v>
      </c>
    </row>
    <row r="32" spans="1:245" x14ac:dyDescent="0.2">
      <c r="A32">
        <v>17</v>
      </c>
      <c r="B32">
        <v>1</v>
      </c>
      <c r="C32">
        <f>ROW(SmtRes!A32)</f>
        <v>32</v>
      </c>
      <c r="D32">
        <f>ROW(EtalonRes!A32)</f>
        <v>32</v>
      </c>
      <c r="E32" t="s">
        <v>72</v>
      </c>
      <c r="F32" t="s">
        <v>73</v>
      </c>
      <c r="G32" t="s">
        <v>74</v>
      </c>
      <c r="H32" t="s">
        <v>66</v>
      </c>
      <c r="I32">
        <f>ROUND(37/100,9)</f>
        <v>0.37</v>
      </c>
      <c r="J32">
        <v>0</v>
      </c>
      <c r="K32">
        <f>ROUND(37/100,9)</f>
        <v>0.37</v>
      </c>
      <c r="O32">
        <f t="shared" si="14"/>
        <v>252.83</v>
      </c>
      <c r="P32">
        <f t="shared" si="15"/>
        <v>0</v>
      </c>
      <c r="Q32">
        <f t="shared" si="16"/>
        <v>37.64</v>
      </c>
      <c r="R32">
        <f t="shared" si="17"/>
        <v>0</v>
      </c>
      <c r="S32">
        <f t="shared" si="18"/>
        <v>215.19</v>
      </c>
      <c r="T32">
        <f t="shared" si="19"/>
        <v>0</v>
      </c>
      <c r="U32">
        <f t="shared" si="20"/>
        <v>0.73629999999999995</v>
      </c>
      <c r="V32">
        <f t="shared" si="21"/>
        <v>0</v>
      </c>
      <c r="W32">
        <f t="shared" si="22"/>
        <v>0</v>
      </c>
      <c r="X32">
        <f t="shared" si="23"/>
        <v>208.73</v>
      </c>
      <c r="Y32">
        <f t="shared" si="24"/>
        <v>109.75</v>
      </c>
      <c r="AA32">
        <v>40777027</v>
      </c>
      <c r="AB32">
        <f t="shared" si="25"/>
        <v>25.23</v>
      </c>
      <c r="AC32">
        <f t="shared" si="26"/>
        <v>0</v>
      </c>
      <c r="AD32">
        <f t="shared" si="27"/>
        <v>7.34</v>
      </c>
      <c r="AE32">
        <f t="shared" si="28"/>
        <v>0</v>
      </c>
      <c r="AF32">
        <f t="shared" si="29"/>
        <v>17.89</v>
      </c>
      <c r="AG32">
        <f t="shared" si="30"/>
        <v>0</v>
      </c>
      <c r="AH32">
        <f t="shared" si="31"/>
        <v>1.99</v>
      </c>
      <c r="AI32">
        <f t="shared" si="32"/>
        <v>0</v>
      </c>
      <c r="AJ32">
        <f t="shared" si="33"/>
        <v>0</v>
      </c>
      <c r="AK32">
        <v>25.59</v>
      </c>
      <c r="AL32">
        <v>0.36</v>
      </c>
      <c r="AM32">
        <v>7.34</v>
      </c>
      <c r="AN32">
        <v>0</v>
      </c>
      <c r="AO32">
        <v>17.89</v>
      </c>
      <c r="AP32">
        <v>0</v>
      </c>
      <c r="AQ32">
        <v>1.99</v>
      </c>
      <c r="AR32">
        <v>0</v>
      </c>
      <c r="AS32">
        <v>0</v>
      </c>
      <c r="AT32">
        <v>97</v>
      </c>
      <c r="AU32">
        <v>51</v>
      </c>
      <c r="AV32">
        <v>1</v>
      </c>
      <c r="AW32">
        <v>1</v>
      </c>
      <c r="AZ32">
        <v>1</v>
      </c>
      <c r="BA32">
        <v>32.51</v>
      </c>
      <c r="BB32">
        <v>13.86</v>
      </c>
      <c r="BC32">
        <v>32.31</v>
      </c>
      <c r="BD32" t="s">
        <v>3</v>
      </c>
      <c r="BE32" t="s">
        <v>3</v>
      </c>
      <c r="BF32" t="s">
        <v>3</v>
      </c>
      <c r="BG32" t="s">
        <v>3</v>
      </c>
      <c r="BH32">
        <v>0</v>
      </c>
      <c r="BI32">
        <v>2</v>
      </c>
      <c r="BJ32" t="s">
        <v>75</v>
      </c>
      <c r="BM32">
        <v>108001</v>
      </c>
      <c r="BN32">
        <v>0</v>
      </c>
      <c r="BO32" t="s">
        <v>73</v>
      </c>
      <c r="BP32">
        <v>1</v>
      </c>
      <c r="BQ32">
        <v>3</v>
      </c>
      <c r="BR32">
        <v>0</v>
      </c>
      <c r="BS32">
        <v>32.51</v>
      </c>
      <c r="BT32">
        <v>1</v>
      </c>
      <c r="BU32">
        <v>1</v>
      </c>
      <c r="BV32">
        <v>1</v>
      </c>
      <c r="BW32">
        <v>1</v>
      </c>
      <c r="BX32">
        <v>1</v>
      </c>
      <c r="BY32" t="s">
        <v>3</v>
      </c>
      <c r="BZ32">
        <v>97</v>
      </c>
      <c r="CA32">
        <v>51</v>
      </c>
      <c r="CB32" t="s">
        <v>3</v>
      </c>
      <c r="CE32">
        <v>0</v>
      </c>
      <c r="CF32">
        <v>0</v>
      </c>
      <c r="CG32">
        <v>0</v>
      </c>
      <c r="CM32">
        <v>0</v>
      </c>
      <c r="CN32" t="s">
        <v>3</v>
      </c>
      <c r="CO32">
        <v>0</v>
      </c>
      <c r="CP32">
        <f t="shared" si="34"/>
        <v>252.82999999999998</v>
      </c>
      <c r="CQ32">
        <f t="shared" si="35"/>
        <v>0</v>
      </c>
      <c r="CR32">
        <f t="shared" si="36"/>
        <v>101.7324</v>
      </c>
      <c r="CS32">
        <f t="shared" si="37"/>
        <v>0</v>
      </c>
      <c r="CT32">
        <f t="shared" si="38"/>
        <v>581.60389999999995</v>
      </c>
      <c r="CU32">
        <f t="shared" si="39"/>
        <v>0</v>
      </c>
      <c r="CV32">
        <f t="shared" si="40"/>
        <v>1.99</v>
      </c>
      <c r="CW32">
        <f t="shared" si="41"/>
        <v>0</v>
      </c>
      <c r="CX32">
        <f t="shared" si="42"/>
        <v>0</v>
      </c>
      <c r="CY32">
        <f t="shared" si="43"/>
        <v>208.73429999999999</v>
      </c>
      <c r="CZ32">
        <f t="shared" si="44"/>
        <v>109.74690000000001</v>
      </c>
      <c r="DC32" t="s">
        <v>3</v>
      </c>
      <c r="DD32" t="s">
        <v>19</v>
      </c>
      <c r="DE32" t="s">
        <v>3</v>
      </c>
      <c r="DF32" t="s">
        <v>3</v>
      </c>
      <c r="DG32" t="s">
        <v>3</v>
      </c>
      <c r="DH32" t="s">
        <v>3</v>
      </c>
      <c r="DI32" t="s">
        <v>3</v>
      </c>
      <c r="DJ32" t="s">
        <v>3</v>
      </c>
      <c r="DK32" t="s">
        <v>3</v>
      </c>
      <c r="DL32" t="s">
        <v>3</v>
      </c>
      <c r="DM32" t="s">
        <v>3</v>
      </c>
      <c r="DN32">
        <v>0</v>
      </c>
      <c r="DO32">
        <v>0</v>
      </c>
      <c r="DP32">
        <v>1</v>
      </c>
      <c r="DQ32">
        <v>1</v>
      </c>
      <c r="DU32">
        <v>1013</v>
      </c>
      <c r="DV32" t="s">
        <v>66</v>
      </c>
      <c r="DW32" t="s">
        <v>66</v>
      </c>
      <c r="DX32">
        <v>1</v>
      </c>
      <c r="DZ32" t="s">
        <v>3</v>
      </c>
      <c r="EA32" t="s">
        <v>3</v>
      </c>
      <c r="EB32" t="s">
        <v>3</v>
      </c>
      <c r="EC32" t="s">
        <v>3</v>
      </c>
      <c r="EE32">
        <v>40523018</v>
      </c>
      <c r="EF32">
        <v>3</v>
      </c>
      <c r="EG32" t="s">
        <v>58</v>
      </c>
      <c r="EH32">
        <v>0</v>
      </c>
      <c r="EI32" t="s">
        <v>3</v>
      </c>
      <c r="EJ32">
        <v>2</v>
      </c>
      <c r="EK32">
        <v>108001</v>
      </c>
      <c r="EL32" t="s">
        <v>59</v>
      </c>
      <c r="EM32" t="s">
        <v>60</v>
      </c>
      <c r="EO32" t="s">
        <v>3</v>
      </c>
      <c r="EQ32">
        <v>0</v>
      </c>
      <c r="ER32">
        <v>25.59</v>
      </c>
      <c r="ES32">
        <v>0.36</v>
      </c>
      <c r="ET32">
        <v>7.34</v>
      </c>
      <c r="EU32">
        <v>0</v>
      </c>
      <c r="EV32">
        <v>17.89</v>
      </c>
      <c r="EW32">
        <v>1.99</v>
      </c>
      <c r="EX32">
        <v>0</v>
      </c>
      <c r="EY32">
        <v>0</v>
      </c>
      <c r="FQ32">
        <v>0</v>
      </c>
      <c r="FR32">
        <f t="shared" si="45"/>
        <v>0</v>
      </c>
      <c r="FS32">
        <v>0</v>
      </c>
      <c r="FX32">
        <v>97</v>
      </c>
      <c r="FY32">
        <v>51</v>
      </c>
      <c r="GA32" t="s">
        <v>3</v>
      </c>
      <c r="GD32">
        <v>1</v>
      </c>
      <c r="GF32">
        <v>670693792</v>
      </c>
      <c r="GG32">
        <v>2</v>
      </c>
      <c r="GH32">
        <v>1</v>
      </c>
      <c r="GI32">
        <v>2</v>
      </c>
      <c r="GJ32">
        <v>0</v>
      </c>
      <c r="GK32">
        <v>0</v>
      </c>
      <c r="GL32">
        <f t="shared" si="46"/>
        <v>0</v>
      </c>
      <c r="GM32">
        <f t="shared" si="47"/>
        <v>571.30999999999995</v>
      </c>
      <c r="GN32">
        <f t="shared" si="48"/>
        <v>0</v>
      </c>
      <c r="GO32">
        <f t="shared" si="49"/>
        <v>571.30999999999995</v>
      </c>
      <c r="GP32">
        <f t="shared" si="50"/>
        <v>0</v>
      </c>
      <c r="GR32">
        <v>0</v>
      </c>
      <c r="GS32">
        <v>3</v>
      </c>
      <c r="GT32">
        <v>0</v>
      </c>
      <c r="GU32" t="s">
        <v>3</v>
      </c>
      <c r="GV32">
        <f t="shared" si="51"/>
        <v>0</v>
      </c>
      <c r="GW32">
        <v>1</v>
      </c>
      <c r="GX32">
        <f t="shared" si="52"/>
        <v>0</v>
      </c>
      <c r="HA32">
        <v>0</v>
      </c>
      <c r="HB32">
        <v>0</v>
      </c>
      <c r="HC32">
        <f t="shared" si="53"/>
        <v>0</v>
      </c>
      <c r="HE32" t="s">
        <v>3</v>
      </c>
      <c r="HF32" t="s">
        <v>3</v>
      </c>
      <c r="HM32" t="s">
        <v>3</v>
      </c>
      <c r="HN32" t="s">
        <v>61</v>
      </c>
      <c r="HO32" t="s">
        <v>62</v>
      </c>
      <c r="HP32" t="s">
        <v>59</v>
      </c>
      <c r="HQ32" t="s">
        <v>59</v>
      </c>
      <c r="IK32">
        <v>0</v>
      </c>
    </row>
    <row r="33" spans="1:245" x14ac:dyDescent="0.2">
      <c r="A33">
        <v>17</v>
      </c>
      <c r="B33">
        <v>1</v>
      </c>
      <c r="C33">
        <f>ROW(SmtRes!A44)</f>
        <v>44</v>
      </c>
      <c r="D33">
        <f>ROW(EtalonRes!A44)</f>
        <v>44</v>
      </c>
      <c r="E33" t="s">
        <v>76</v>
      </c>
      <c r="F33" t="s">
        <v>77</v>
      </c>
      <c r="G33" t="s">
        <v>78</v>
      </c>
      <c r="H33" t="s">
        <v>66</v>
      </c>
      <c r="I33">
        <f>ROUND(74/100,9)</f>
        <v>0.74</v>
      </c>
      <c r="J33">
        <v>0</v>
      </c>
      <c r="K33">
        <f>ROUND(74/100,9)</f>
        <v>0.74</v>
      </c>
      <c r="O33">
        <f t="shared" si="14"/>
        <v>6557.94</v>
      </c>
      <c r="P33">
        <f t="shared" si="15"/>
        <v>0</v>
      </c>
      <c r="Q33">
        <f t="shared" si="16"/>
        <v>2785.98</v>
      </c>
      <c r="R33">
        <f t="shared" si="17"/>
        <v>384.2</v>
      </c>
      <c r="S33">
        <f t="shared" si="18"/>
        <v>3771.96</v>
      </c>
      <c r="T33">
        <f t="shared" si="19"/>
        <v>0</v>
      </c>
      <c r="U33">
        <f t="shared" si="20"/>
        <v>12.905600000000002</v>
      </c>
      <c r="V33">
        <f t="shared" si="21"/>
        <v>0.9768</v>
      </c>
      <c r="W33">
        <f t="shared" si="22"/>
        <v>0</v>
      </c>
      <c r="X33">
        <f t="shared" si="23"/>
        <v>4031.48</v>
      </c>
      <c r="Y33">
        <f t="shared" si="24"/>
        <v>2119.64</v>
      </c>
      <c r="AA33">
        <v>40777027</v>
      </c>
      <c r="AB33">
        <f t="shared" si="25"/>
        <v>495.05</v>
      </c>
      <c r="AC33">
        <f t="shared" si="26"/>
        <v>0</v>
      </c>
      <c r="AD33">
        <f t="shared" si="27"/>
        <v>338.26</v>
      </c>
      <c r="AE33">
        <f t="shared" si="28"/>
        <v>15.97</v>
      </c>
      <c r="AF33">
        <f t="shared" si="29"/>
        <v>156.79</v>
      </c>
      <c r="AG33">
        <f t="shared" si="30"/>
        <v>0</v>
      </c>
      <c r="AH33">
        <f t="shared" si="31"/>
        <v>17.440000000000001</v>
      </c>
      <c r="AI33">
        <f t="shared" si="32"/>
        <v>1.32</v>
      </c>
      <c r="AJ33">
        <f t="shared" si="33"/>
        <v>0</v>
      </c>
      <c r="AK33">
        <v>573.20000000000005</v>
      </c>
      <c r="AL33">
        <v>78.150000000000006</v>
      </c>
      <c r="AM33">
        <v>338.26</v>
      </c>
      <c r="AN33">
        <v>15.97</v>
      </c>
      <c r="AO33">
        <v>156.79</v>
      </c>
      <c r="AP33">
        <v>0</v>
      </c>
      <c r="AQ33">
        <v>17.440000000000001</v>
      </c>
      <c r="AR33">
        <v>1.32</v>
      </c>
      <c r="AS33">
        <v>0</v>
      </c>
      <c r="AT33">
        <v>97</v>
      </c>
      <c r="AU33">
        <v>51</v>
      </c>
      <c r="AV33">
        <v>1</v>
      </c>
      <c r="AW33">
        <v>1</v>
      </c>
      <c r="AZ33">
        <v>1</v>
      </c>
      <c r="BA33">
        <v>32.51</v>
      </c>
      <c r="BB33">
        <v>11.13</v>
      </c>
      <c r="BC33">
        <v>13.46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2</v>
      </c>
      <c r="BJ33" t="s">
        <v>79</v>
      </c>
      <c r="BM33">
        <v>108001</v>
      </c>
      <c r="BN33">
        <v>0</v>
      </c>
      <c r="BO33" t="s">
        <v>77</v>
      </c>
      <c r="BP33">
        <v>1</v>
      </c>
      <c r="BQ33">
        <v>3</v>
      </c>
      <c r="BR33">
        <v>0</v>
      </c>
      <c r="BS33">
        <v>32.51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97</v>
      </c>
      <c r="CA33">
        <v>51</v>
      </c>
      <c r="CB33" t="s">
        <v>3</v>
      </c>
      <c r="CE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 t="shared" si="34"/>
        <v>6557.9400000000005</v>
      </c>
      <c r="CQ33">
        <f t="shared" si="35"/>
        <v>0</v>
      </c>
      <c r="CR33">
        <f t="shared" si="36"/>
        <v>3764.8338000000003</v>
      </c>
      <c r="CS33">
        <f t="shared" si="37"/>
        <v>519.18470000000002</v>
      </c>
      <c r="CT33">
        <f t="shared" si="38"/>
        <v>5097.2428999999993</v>
      </c>
      <c r="CU33">
        <f t="shared" si="39"/>
        <v>0</v>
      </c>
      <c r="CV33">
        <f t="shared" si="40"/>
        <v>17.440000000000001</v>
      </c>
      <c r="CW33">
        <f t="shared" si="41"/>
        <v>1.32</v>
      </c>
      <c r="CX33">
        <f t="shared" si="42"/>
        <v>0</v>
      </c>
      <c r="CY33">
        <f t="shared" si="43"/>
        <v>4031.4751999999994</v>
      </c>
      <c r="CZ33">
        <f t="shared" si="44"/>
        <v>2119.6415999999999</v>
      </c>
      <c r="DC33" t="s">
        <v>3</v>
      </c>
      <c r="DD33" t="s">
        <v>19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66</v>
      </c>
      <c r="DW33" t="s">
        <v>66</v>
      </c>
      <c r="DX33">
        <v>1</v>
      </c>
      <c r="DZ33" t="s">
        <v>3</v>
      </c>
      <c r="EA33" t="s">
        <v>3</v>
      </c>
      <c r="EB33" t="s">
        <v>3</v>
      </c>
      <c r="EC33" t="s">
        <v>3</v>
      </c>
      <c r="EE33">
        <v>40523018</v>
      </c>
      <c r="EF33">
        <v>3</v>
      </c>
      <c r="EG33" t="s">
        <v>58</v>
      </c>
      <c r="EH33">
        <v>0</v>
      </c>
      <c r="EI33" t="s">
        <v>3</v>
      </c>
      <c r="EJ33">
        <v>2</v>
      </c>
      <c r="EK33">
        <v>108001</v>
      </c>
      <c r="EL33" t="s">
        <v>59</v>
      </c>
      <c r="EM33" t="s">
        <v>60</v>
      </c>
      <c r="EO33" t="s">
        <v>3</v>
      </c>
      <c r="EQ33">
        <v>0</v>
      </c>
      <c r="ER33">
        <v>573.20000000000005</v>
      </c>
      <c r="ES33">
        <v>78.150000000000006</v>
      </c>
      <c r="ET33">
        <v>338.26</v>
      </c>
      <c r="EU33">
        <v>15.97</v>
      </c>
      <c r="EV33">
        <v>156.79</v>
      </c>
      <c r="EW33">
        <v>17.440000000000001</v>
      </c>
      <c r="EX33">
        <v>1.32</v>
      </c>
      <c r="EY33">
        <v>0</v>
      </c>
      <c r="FQ33">
        <v>0</v>
      </c>
      <c r="FR33">
        <f t="shared" si="45"/>
        <v>0</v>
      </c>
      <c r="FS33">
        <v>0</v>
      </c>
      <c r="FX33">
        <v>97</v>
      </c>
      <c r="FY33">
        <v>51</v>
      </c>
      <c r="GA33" t="s">
        <v>3</v>
      </c>
      <c r="GD33">
        <v>1</v>
      </c>
      <c r="GF33">
        <v>-139553060</v>
      </c>
      <c r="GG33">
        <v>2</v>
      </c>
      <c r="GH33">
        <v>1</v>
      </c>
      <c r="GI33">
        <v>2</v>
      </c>
      <c r="GJ33">
        <v>0</v>
      </c>
      <c r="GK33">
        <v>0</v>
      </c>
      <c r="GL33">
        <f t="shared" si="46"/>
        <v>0</v>
      </c>
      <c r="GM33">
        <f t="shared" si="47"/>
        <v>12709.06</v>
      </c>
      <c r="GN33">
        <f t="shared" si="48"/>
        <v>0</v>
      </c>
      <c r="GO33">
        <f t="shared" si="49"/>
        <v>12709.06</v>
      </c>
      <c r="GP33">
        <f t="shared" si="50"/>
        <v>0</v>
      </c>
      <c r="GR33">
        <v>0</v>
      </c>
      <c r="GS33">
        <v>3</v>
      </c>
      <c r="GT33">
        <v>0</v>
      </c>
      <c r="GU33" t="s">
        <v>3</v>
      </c>
      <c r="GV33">
        <f t="shared" si="51"/>
        <v>0</v>
      </c>
      <c r="GW33">
        <v>1</v>
      </c>
      <c r="GX33">
        <f t="shared" si="52"/>
        <v>0</v>
      </c>
      <c r="HA33">
        <v>0</v>
      </c>
      <c r="HB33">
        <v>0</v>
      </c>
      <c r="HC33">
        <f t="shared" si="53"/>
        <v>0</v>
      </c>
      <c r="HE33" t="s">
        <v>3</v>
      </c>
      <c r="HF33" t="s">
        <v>3</v>
      </c>
      <c r="HM33" t="s">
        <v>3</v>
      </c>
      <c r="HN33" t="s">
        <v>61</v>
      </c>
      <c r="HO33" t="s">
        <v>62</v>
      </c>
      <c r="HP33" t="s">
        <v>59</v>
      </c>
      <c r="HQ33" t="s">
        <v>59</v>
      </c>
      <c r="IK33">
        <v>0</v>
      </c>
    </row>
    <row r="34" spans="1:245" x14ac:dyDescent="0.2">
      <c r="A34">
        <v>17</v>
      </c>
      <c r="B34">
        <v>1</v>
      </c>
      <c r="C34">
        <f>ROW(SmtRes!A49)</f>
        <v>49</v>
      </c>
      <c r="D34">
        <f>ROW(EtalonRes!A49)</f>
        <v>49</v>
      </c>
      <c r="E34" t="s">
        <v>80</v>
      </c>
      <c r="F34" t="s">
        <v>81</v>
      </c>
      <c r="G34" t="s">
        <v>82</v>
      </c>
      <c r="H34" t="s">
        <v>66</v>
      </c>
      <c r="I34">
        <f>ROUND(37/100,9)</f>
        <v>0.37</v>
      </c>
      <c r="J34">
        <v>0</v>
      </c>
      <c r="K34">
        <f>ROUND(37/100,9)</f>
        <v>0.37</v>
      </c>
      <c r="O34">
        <f t="shared" si="14"/>
        <v>2301.4499999999998</v>
      </c>
      <c r="P34">
        <f t="shared" si="15"/>
        <v>0</v>
      </c>
      <c r="Q34">
        <f t="shared" si="16"/>
        <v>1738.03</v>
      </c>
      <c r="R34">
        <f t="shared" si="17"/>
        <v>251.76</v>
      </c>
      <c r="S34">
        <f t="shared" si="18"/>
        <v>563.41999999999996</v>
      </c>
      <c r="T34">
        <f t="shared" si="19"/>
        <v>0</v>
      </c>
      <c r="U34">
        <f t="shared" si="20"/>
        <v>1.9277</v>
      </c>
      <c r="V34">
        <f t="shared" si="21"/>
        <v>0.6401</v>
      </c>
      <c r="W34">
        <f t="shared" si="22"/>
        <v>0</v>
      </c>
      <c r="X34">
        <f t="shared" si="23"/>
        <v>790.72</v>
      </c>
      <c r="Y34">
        <f t="shared" si="24"/>
        <v>415.74</v>
      </c>
      <c r="AA34">
        <v>40777027</v>
      </c>
      <c r="AB34">
        <f t="shared" si="25"/>
        <v>445.26</v>
      </c>
      <c r="AC34">
        <f t="shared" si="26"/>
        <v>0</v>
      </c>
      <c r="AD34">
        <f t="shared" si="27"/>
        <v>398.42</v>
      </c>
      <c r="AE34">
        <f t="shared" si="28"/>
        <v>20.93</v>
      </c>
      <c r="AF34">
        <f t="shared" si="29"/>
        <v>46.84</v>
      </c>
      <c r="AG34">
        <f t="shared" si="30"/>
        <v>0</v>
      </c>
      <c r="AH34">
        <f t="shared" si="31"/>
        <v>5.21</v>
      </c>
      <c r="AI34">
        <f t="shared" si="32"/>
        <v>1.73</v>
      </c>
      <c r="AJ34">
        <f t="shared" si="33"/>
        <v>0</v>
      </c>
      <c r="AK34">
        <v>446.2</v>
      </c>
      <c r="AL34">
        <v>0.94</v>
      </c>
      <c r="AM34">
        <v>398.42</v>
      </c>
      <c r="AN34">
        <v>20.93</v>
      </c>
      <c r="AO34">
        <v>46.84</v>
      </c>
      <c r="AP34">
        <v>0</v>
      </c>
      <c r="AQ34">
        <v>5.21</v>
      </c>
      <c r="AR34">
        <v>1.73</v>
      </c>
      <c r="AS34">
        <v>0</v>
      </c>
      <c r="AT34">
        <v>97</v>
      </c>
      <c r="AU34">
        <v>51</v>
      </c>
      <c r="AV34">
        <v>1</v>
      </c>
      <c r="AW34">
        <v>1</v>
      </c>
      <c r="AZ34">
        <v>1</v>
      </c>
      <c r="BA34">
        <v>32.51</v>
      </c>
      <c r="BB34">
        <v>11.79</v>
      </c>
      <c r="BC34">
        <v>32.39</v>
      </c>
      <c r="BD34" t="s">
        <v>3</v>
      </c>
      <c r="BE34" t="s">
        <v>3</v>
      </c>
      <c r="BF34" t="s">
        <v>3</v>
      </c>
      <c r="BG34" t="s">
        <v>3</v>
      </c>
      <c r="BH34">
        <v>0</v>
      </c>
      <c r="BI34">
        <v>2</v>
      </c>
      <c r="BJ34" t="s">
        <v>83</v>
      </c>
      <c r="BM34">
        <v>108001</v>
      </c>
      <c r="BN34">
        <v>0</v>
      </c>
      <c r="BO34" t="s">
        <v>81</v>
      </c>
      <c r="BP34">
        <v>1</v>
      </c>
      <c r="BQ34">
        <v>3</v>
      </c>
      <c r="BR34">
        <v>0</v>
      </c>
      <c r="BS34">
        <v>32.51</v>
      </c>
      <c r="BT34">
        <v>1</v>
      </c>
      <c r="BU34">
        <v>1</v>
      </c>
      <c r="BV34">
        <v>1</v>
      </c>
      <c r="BW34">
        <v>1</v>
      </c>
      <c r="BX34">
        <v>1</v>
      </c>
      <c r="BY34" t="s">
        <v>3</v>
      </c>
      <c r="BZ34">
        <v>97</v>
      </c>
      <c r="CA34">
        <v>51</v>
      </c>
      <c r="CB34" t="s">
        <v>3</v>
      </c>
      <c r="CE34">
        <v>0</v>
      </c>
      <c r="CF34">
        <v>0</v>
      </c>
      <c r="CG34">
        <v>0</v>
      </c>
      <c r="CM34">
        <v>0</v>
      </c>
      <c r="CN34" t="s">
        <v>3</v>
      </c>
      <c r="CO34">
        <v>0</v>
      </c>
      <c r="CP34">
        <f t="shared" si="34"/>
        <v>2301.4499999999998</v>
      </c>
      <c r="CQ34">
        <f t="shared" si="35"/>
        <v>0</v>
      </c>
      <c r="CR34">
        <f t="shared" si="36"/>
        <v>4697.3717999999999</v>
      </c>
      <c r="CS34">
        <f t="shared" si="37"/>
        <v>680.43429999999989</v>
      </c>
      <c r="CT34">
        <f t="shared" si="38"/>
        <v>1522.7683999999999</v>
      </c>
      <c r="CU34">
        <f t="shared" si="39"/>
        <v>0</v>
      </c>
      <c r="CV34">
        <f t="shared" si="40"/>
        <v>5.21</v>
      </c>
      <c r="CW34">
        <f t="shared" si="41"/>
        <v>1.73</v>
      </c>
      <c r="CX34">
        <f t="shared" si="42"/>
        <v>0</v>
      </c>
      <c r="CY34">
        <f t="shared" si="43"/>
        <v>790.7245999999999</v>
      </c>
      <c r="CZ34">
        <f t="shared" si="44"/>
        <v>415.74180000000001</v>
      </c>
      <c r="DC34" t="s">
        <v>3</v>
      </c>
      <c r="DD34" t="s">
        <v>19</v>
      </c>
      <c r="DE34" t="s">
        <v>3</v>
      </c>
      <c r="DF34" t="s">
        <v>3</v>
      </c>
      <c r="DG34" t="s">
        <v>3</v>
      </c>
      <c r="DH34" t="s">
        <v>3</v>
      </c>
      <c r="DI34" t="s">
        <v>3</v>
      </c>
      <c r="DJ34" t="s">
        <v>3</v>
      </c>
      <c r="DK34" t="s">
        <v>3</v>
      </c>
      <c r="DL34" t="s">
        <v>3</v>
      </c>
      <c r="DM34" t="s">
        <v>3</v>
      </c>
      <c r="DN34">
        <v>0</v>
      </c>
      <c r="DO34">
        <v>0</v>
      </c>
      <c r="DP34">
        <v>1</v>
      </c>
      <c r="DQ34">
        <v>1</v>
      </c>
      <c r="DU34">
        <v>1013</v>
      </c>
      <c r="DV34" t="s">
        <v>66</v>
      </c>
      <c r="DW34" t="s">
        <v>66</v>
      </c>
      <c r="DX34">
        <v>1</v>
      </c>
      <c r="DZ34" t="s">
        <v>3</v>
      </c>
      <c r="EA34" t="s">
        <v>3</v>
      </c>
      <c r="EB34" t="s">
        <v>3</v>
      </c>
      <c r="EC34" t="s">
        <v>3</v>
      </c>
      <c r="EE34">
        <v>40523018</v>
      </c>
      <c r="EF34">
        <v>3</v>
      </c>
      <c r="EG34" t="s">
        <v>58</v>
      </c>
      <c r="EH34">
        <v>0</v>
      </c>
      <c r="EI34" t="s">
        <v>3</v>
      </c>
      <c r="EJ34">
        <v>2</v>
      </c>
      <c r="EK34">
        <v>108001</v>
      </c>
      <c r="EL34" t="s">
        <v>59</v>
      </c>
      <c r="EM34" t="s">
        <v>60</v>
      </c>
      <c r="EO34" t="s">
        <v>3</v>
      </c>
      <c r="EQ34">
        <v>0</v>
      </c>
      <c r="ER34">
        <v>446.2</v>
      </c>
      <c r="ES34">
        <v>0.94</v>
      </c>
      <c r="ET34">
        <v>398.42</v>
      </c>
      <c r="EU34">
        <v>20.93</v>
      </c>
      <c r="EV34">
        <v>46.84</v>
      </c>
      <c r="EW34">
        <v>5.21</v>
      </c>
      <c r="EX34">
        <v>1.73</v>
      </c>
      <c r="EY34">
        <v>0</v>
      </c>
      <c r="FQ34">
        <v>0</v>
      </c>
      <c r="FR34">
        <f t="shared" si="45"/>
        <v>0</v>
      </c>
      <c r="FS34">
        <v>0</v>
      </c>
      <c r="FX34">
        <v>97</v>
      </c>
      <c r="FY34">
        <v>51</v>
      </c>
      <c r="GA34" t="s">
        <v>3</v>
      </c>
      <c r="GD34">
        <v>1</v>
      </c>
      <c r="GF34">
        <v>-889260893</v>
      </c>
      <c r="GG34">
        <v>2</v>
      </c>
      <c r="GH34">
        <v>1</v>
      </c>
      <c r="GI34">
        <v>2</v>
      </c>
      <c r="GJ34">
        <v>0</v>
      </c>
      <c r="GK34">
        <v>0</v>
      </c>
      <c r="GL34">
        <f t="shared" si="46"/>
        <v>0</v>
      </c>
      <c r="GM34">
        <f t="shared" si="47"/>
        <v>3507.91</v>
      </c>
      <c r="GN34">
        <f t="shared" si="48"/>
        <v>0</v>
      </c>
      <c r="GO34">
        <f t="shared" si="49"/>
        <v>3507.91</v>
      </c>
      <c r="GP34">
        <f t="shared" si="50"/>
        <v>0</v>
      </c>
      <c r="GR34">
        <v>0</v>
      </c>
      <c r="GS34">
        <v>3</v>
      </c>
      <c r="GT34">
        <v>0</v>
      </c>
      <c r="GU34" t="s">
        <v>3</v>
      </c>
      <c r="GV34">
        <f t="shared" si="51"/>
        <v>0</v>
      </c>
      <c r="GW34">
        <v>1</v>
      </c>
      <c r="GX34">
        <f t="shared" si="52"/>
        <v>0</v>
      </c>
      <c r="HA34">
        <v>0</v>
      </c>
      <c r="HB34">
        <v>0</v>
      </c>
      <c r="HC34">
        <f t="shared" si="53"/>
        <v>0</v>
      </c>
      <c r="HE34" t="s">
        <v>3</v>
      </c>
      <c r="HF34" t="s">
        <v>3</v>
      </c>
      <c r="HM34" t="s">
        <v>3</v>
      </c>
      <c r="HN34" t="s">
        <v>61</v>
      </c>
      <c r="HO34" t="s">
        <v>62</v>
      </c>
      <c r="HP34" t="s">
        <v>59</v>
      </c>
      <c r="HQ34" t="s">
        <v>59</v>
      </c>
      <c r="IK34">
        <v>0</v>
      </c>
    </row>
    <row r="35" spans="1:245" x14ac:dyDescent="0.2">
      <c r="A35">
        <v>17</v>
      </c>
      <c r="B35">
        <v>1</v>
      </c>
      <c r="C35">
        <f>ROW(SmtRes!A54)</f>
        <v>54</v>
      </c>
      <c r="D35">
        <f>ROW(EtalonRes!A54)</f>
        <v>54</v>
      </c>
      <c r="E35" t="s">
        <v>84</v>
      </c>
      <c r="F35" t="s">
        <v>85</v>
      </c>
      <c r="G35" t="s">
        <v>86</v>
      </c>
      <c r="H35" t="s">
        <v>66</v>
      </c>
      <c r="I35">
        <f>ROUND(37/100,9)</f>
        <v>0.37</v>
      </c>
      <c r="J35">
        <v>0</v>
      </c>
      <c r="K35">
        <f>ROUND(37/100,9)</f>
        <v>0.37</v>
      </c>
      <c r="O35">
        <f t="shared" si="14"/>
        <v>1208.31</v>
      </c>
      <c r="P35">
        <f t="shared" si="15"/>
        <v>0</v>
      </c>
      <c r="Q35">
        <f t="shared" si="16"/>
        <v>914.21</v>
      </c>
      <c r="R35">
        <f t="shared" si="17"/>
        <v>132.44</v>
      </c>
      <c r="S35">
        <f t="shared" si="18"/>
        <v>294.10000000000002</v>
      </c>
      <c r="T35">
        <f t="shared" si="19"/>
        <v>0</v>
      </c>
      <c r="U35">
        <f t="shared" si="20"/>
        <v>1.0064</v>
      </c>
      <c r="V35">
        <f t="shared" si="21"/>
        <v>0.3367</v>
      </c>
      <c r="W35">
        <f t="shared" si="22"/>
        <v>0</v>
      </c>
      <c r="X35">
        <f t="shared" si="23"/>
        <v>413.74</v>
      </c>
      <c r="Y35">
        <f t="shared" si="24"/>
        <v>217.54</v>
      </c>
      <c r="AA35">
        <v>40777027</v>
      </c>
      <c r="AB35">
        <f t="shared" si="25"/>
        <v>234.02</v>
      </c>
      <c r="AC35">
        <f t="shared" si="26"/>
        <v>0</v>
      </c>
      <c r="AD35">
        <f t="shared" si="27"/>
        <v>209.57</v>
      </c>
      <c r="AE35">
        <f t="shared" si="28"/>
        <v>11.01</v>
      </c>
      <c r="AF35">
        <f t="shared" si="29"/>
        <v>24.45</v>
      </c>
      <c r="AG35">
        <f t="shared" si="30"/>
        <v>0</v>
      </c>
      <c r="AH35">
        <f t="shared" si="31"/>
        <v>2.72</v>
      </c>
      <c r="AI35">
        <f t="shared" si="32"/>
        <v>0.91</v>
      </c>
      <c r="AJ35">
        <f t="shared" si="33"/>
        <v>0</v>
      </c>
      <c r="AK35">
        <v>234.51</v>
      </c>
      <c r="AL35">
        <v>0.49</v>
      </c>
      <c r="AM35">
        <v>209.57</v>
      </c>
      <c r="AN35">
        <v>11.01</v>
      </c>
      <c r="AO35">
        <v>24.45</v>
      </c>
      <c r="AP35">
        <v>0</v>
      </c>
      <c r="AQ35">
        <v>2.72</v>
      </c>
      <c r="AR35">
        <v>0.91</v>
      </c>
      <c r="AS35">
        <v>0</v>
      </c>
      <c r="AT35">
        <v>97</v>
      </c>
      <c r="AU35">
        <v>51</v>
      </c>
      <c r="AV35">
        <v>1</v>
      </c>
      <c r="AW35">
        <v>1</v>
      </c>
      <c r="AZ35">
        <v>1</v>
      </c>
      <c r="BA35">
        <v>32.51</v>
      </c>
      <c r="BB35">
        <v>11.79</v>
      </c>
      <c r="BC35">
        <v>32.450000000000003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2</v>
      </c>
      <c r="BJ35" t="s">
        <v>87</v>
      </c>
      <c r="BM35">
        <v>108001</v>
      </c>
      <c r="BN35">
        <v>0</v>
      </c>
      <c r="BO35" t="s">
        <v>85</v>
      </c>
      <c r="BP35">
        <v>1</v>
      </c>
      <c r="BQ35">
        <v>3</v>
      </c>
      <c r="BR35">
        <v>0</v>
      </c>
      <c r="BS35">
        <v>32.51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97</v>
      </c>
      <c r="CA35">
        <v>51</v>
      </c>
      <c r="CB35" t="s">
        <v>3</v>
      </c>
      <c r="CE35">
        <v>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34"/>
        <v>1208.31</v>
      </c>
      <c r="CQ35">
        <f t="shared" si="35"/>
        <v>0</v>
      </c>
      <c r="CR35">
        <f t="shared" si="36"/>
        <v>2470.8302999999996</v>
      </c>
      <c r="CS35">
        <f t="shared" si="37"/>
        <v>357.93509999999998</v>
      </c>
      <c r="CT35">
        <f t="shared" si="38"/>
        <v>794.8694999999999</v>
      </c>
      <c r="CU35">
        <f t="shared" si="39"/>
        <v>0</v>
      </c>
      <c r="CV35">
        <f t="shared" si="40"/>
        <v>2.72</v>
      </c>
      <c r="CW35">
        <f t="shared" si="41"/>
        <v>0.91</v>
      </c>
      <c r="CX35">
        <f t="shared" si="42"/>
        <v>0</v>
      </c>
      <c r="CY35">
        <f t="shared" si="43"/>
        <v>413.74380000000002</v>
      </c>
      <c r="CZ35">
        <f t="shared" si="44"/>
        <v>217.53540000000001</v>
      </c>
      <c r="DC35" t="s">
        <v>3</v>
      </c>
      <c r="DD35" t="s">
        <v>19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1013</v>
      </c>
      <c r="DV35" t="s">
        <v>66</v>
      </c>
      <c r="DW35" t="s">
        <v>66</v>
      </c>
      <c r="DX35">
        <v>1</v>
      </c>
      <c r="DZ35" t="s">
        <v>3</v>
      </c>
      <c r="EA35" t="s">
        <v>3</v>
      </c>
      <c r="EB35" t="s">
        <v>3</v>
      </c>
      <c r="EC35" t="s">
        <v>3</v>
      </c>
      <c r="EE35">
        <v>40523018</v>
      </c>
      <c r="EF35">
        <v>3</v>
      </c>
      <c r="EG35" t="s">
        <v>58</v>
      </c>
      <c r="EH35">
        <v>0</v>
      </c>
      <c r="EI35" t="s">
        <v>3</v>
      </c>
      <c r="EJ35">
        <v>2</v>
      </c>
      <c r="EK35">
        <v>108001</v>
      </c>
      <c r="EL35" t="s">
        <v>59</v>
      </c>
      <c r="EM35" t="s">
        <v>60</v>
      </c>
      <c r="EO35" t="s">
        <v>3</v>
      </c>
      <c r="EQ35">
        <v>0</v>
      </c>
      <c r="ER35">
        <v>234.51</v>
      </c>
      <c r="ES35">
        <v>0.49</v>
      </c>
      <c r="ET35">
        <v>209.57</v>
      </c>
      <c r="EU35">
        <v>11.01</v>
      </c>
      <c r="EV35">
        <v>24.45</v>
      </c>
      <c r="EW35">
        <v>2.72</v>
      </c>
      <c r="EX35">
        <v>0.91</v>
      </c>
      <c r="EY35">
        <v>0</v>
      </c>
      <c r="FQ35">
        <v>0</v>
      </c>
      <c r="FR35">
        <f t="shared" si="45"/>
        <v>0</v>
      </c>
      <c r="FS35">
        <v>0</v>
      </c>
      <c r="FX35">
        <v>97</v>
      </c>
      <c r="FY35">
        <v>51</v>
      </c>
      <c r="GA35" t="s">
        <v>3</v>
      </c>
      <c r="GD35">
        <v>1</v>
      </c>
      <c r="GF35">
        <v>406900261</v>
      </c>
      <c r="GG35">
        <v>2</v>
      </c>
      <c r="GH35">
        <v>1</v>
      </c>
      <c r="GI35">
        <v>2</v>
      </c>
      <c r="GJ35">
        <v>0</v>
      </c>
      <c r="GK35">
        <v>0</v>
      </c>
      <c r="GL35">
        <f t="shared" si="46"/>
        <v>0</v>
      </c>
      <c r="GM35">
        <f t="shared" si="47"/>
        <v>1839.59</v>
      </c>
      <c r="GN35">
        <f t="shared" si="48"/>
        <v>0</v>
      </c>
      <c r="GO35">
        <f t="shared" si="49"/>
        <v>1839.59</v>
      </c>
      <c r="GP35">
        <f t="shared" si="50"/>
        <v>0</v>
      </c>
      <c r="GR35">
        <v>0</v>
      </c>
      <c r="GS35">
        <v>3</v>
      </c>
      <c r="GT35">
        <v>0</v>
      </c>
      <c r="GU35" t="s">
        <v>3</v>
      </c>
      <c r="GV35">
        <f t="shared" si="51"/>
        <v>0</v>
      </c>
      <c r="GW35">
        <v>1</v>
      </c>
      <c r="GX35">
        <f t="shared" si="52"/>
        <v>0</v>
      </c>
      <c r="HA35">
        <v>0</v>
      </c>
      <c r="HB35">
        <v>0</v>
      </c>
      <c r="HC35">
        <f t="shared" si="53"/>
        <v>0</v>
      </c>
      <c r="HE35" t="s">
        <v>3</v>
      </c>
      <c r="HF35" t="s">
        <v>3</v>
      </c>
      <c r="HM35" t="s">
        <v>3</v>
      </c>
      <c r="HN35" t="s">
        <v>61</v>
      </c>
      <c r="HO35" t="s">
        <v>62</v>
      </c>
      <c r="HP35" t="s">
        <v>59</v>
      </c>
      <c r="HQ35" t="s">
        <v>59</v>
      </c>
      <c r="IK35">
        <v>0</v>
      </c>
    </row>
    <row r="36" spans="1:245" x14ac:dyDescent="0.2">
      <c r="A36">
        <v>17</v>
      </c>
      <c r="B36">
        <v>1</v>
      </c>
      <c r="C36">
        <f>ROW(SmtRes!A65)</f>
        <v>65</v>
      </c>
      <c r="D36">
        <f>ROW(EtalonRes!A65)</f>
        <v>65</v>
      </c>
      <c r="E36" t="s">
        <v>88</v>
      </c>
      <c r="F36" t="s">
        <v>89</v>
      </c>
      <c r="G36" t="s">
        <v>90</v>
      </c>
      <c r="H36" t="s">
        <v>66</v>
      </c>
      <c r="I36">
        <f>ROUND(50/100,9)</f>
        <v>0.5</v>
      </c>
      <c r="J36">
        <v>0</v>
      </c>
      <c r="K36">
        <f>ROUND(50/100,9)</f>
        <v>0.5</v>
      </c>
      <c r="O36">
        <f t="shared" si="14"/>
        <v>11585.44</v>
      </c>
      <c r="P36">
        <f t="shared" si="15"/>
        <v>0</v>
      </c>
      <c r="Q36">
        <f t="shared" si="16"/>
        <v>8031.45</v>
      </c>
      <c r="R36">
        <f t="shared" si="17"/>
        <v>1498.71</v>
      </c>
      <c r="S36">
        <f t="shared" si="18"/>
        <v>3553.99</v>
      </c>
      <c r="T36">
        <f t="shared" si="19"/>
        <v>0</v>
      </c>
      <c r="U36">
        <f t="shared" si="20"/>
        <v>12.16</v>
      </c>
      <c r="V36">
        <f t="shared" si="21"/>
        <v>3.81</v>
      </c>
      <c r="W36">
        <f t="shared" si="22"/>
        <v>0</v>
      </c>
      <c r="X36">
        <f t="shared" si="23"/>
        <v>4901.12</v>
      </c>
      <c r="Y36">
        <f t="shared" si="24"/>
        <v>2576.88</v>
      </c>
      <c r="AA36">
        <v>40777027</v>
      </c>
      <c r="AB36">
        <f t="shared" si="25"/>
        <v>1465.76</v>
      </c>
      <c r="AC36">
        <f t="shared" si="26"/>
        <v>0</v>
      </c>
      <c r="AD36">
        <f t="shared" si="27"/>
        <v>1247.1199999999999</v>
      </c>
      <c r="AE36">
        <f t="shared" si="28"/>
        <v>92.2</v>
      </c>
      <c r="AF36">
        <f t="shared" si="29"/>
        <v>218.64</v>
      </c>
      <c r="AG36">
        <f t="shared" si="30"/>
        <v>0</v>
      </c>
      <c r="AH36">
        <f t="shared" si="31"/>
        <v>24.32</v>
      </c>
      <c r="AI36">
        <f t="shared" si="32"/>
        <v>7.62</v>
      </c>
      <c r="AJ36">
        <f t="shared" si="33"/>
        <v>0</v>
      </c>
      <c r="AK36">
        <v>1536.28</v>
      </c>
      <c r="AL36">
        <v>70.52</v>
      </c>
      <c r="AM36">
        <v>1247.1199999999999</v>
      </c>
      <c r="AN36">
        <v>92.2</v>
      </c>
      <c r="AO36">
        <v>218.64</v>
      </c>
      <c r="AP36">
        <v>0</v>
      </c>
      <c r="AQ36">
        <v>24.32</v>
      </c>
      <c r="AR36">
        <v>7.62</v>
      </c>
      <c r="AS36">
        <v>0</v>
      </c>
      <c r="AT36">
        <v>97</v>
      </c>
      <c r="AU36">
        <v>51</v>
      </c>
      <c r="AV36">
        <v>1</v>
      </c>
      <c r="AW36">
        <v>1</v>
      </c>
      <c r="AZ36">
        <v>1</v>
      </c>
      <c r="BA36">
        <v>32.51</v>
      </c>
      <c r="BB36">
        <v>12.88</v>
      </c>
      <c r="BC36">
        <v>9.23</v>
      </c>
      <c r="BD36" t="s">
        <v>3</v>
      </c>
      <c r="BE36" t="s">
        <v>3</v>
      </c>
      <c r="BF36" t="s">
        <v>3</v>
      </c>
      <c r="BG36" t="s">
        <v>3</v>
      </c>
      <c r="BH36">
        <v>0</v>
      </c>
      <c r="BI36">
        <v>2</v>
      </c>
      <c r="BJ36" t="s">
        <v>91</v>
      </c>
      <c r="BM36">
        <v>108001</v>
      </c>
      <c r="BN36">
        <v>0</v>
      </c>
      <c r="BO36" t="s">
        <v>89</v>
      </c>
      <c r="BP36">
        <v>1</v>
      </c>
      <c r="BQ36">
        <v>3</v>
      </c>
      <c r="BR36">
        <v>0</v>
      </c>
      <c r="BS36">
        <v>32.51</v>
      </c>
      <c r="BT36">
        <v>1</v>
      </c>
      <c r="BU36">
        <v>1</v>
      </c>
      <c r="BV36">
        <v>1</v>
      </c>
      <c r="BW36">
        <v>1</v>
      </c>
      <c r="BX36">
        <v>1</v>
      </c>
      <c r="BY36" t="s">
        <v>3</v>
      </c>
      <c r="BZ36">
        <v>97</v>
      </c>
      <c r="CA36">
        <v>51</v>
      </c>
      <c r="CB36" t="s">
        <v>3</v>
      </c>
      <c r="CE36">
        <v>0</v>
      </c>
      <c r="CF36">
        <v>0</v>
      </c>
      <c r="CG36">
        <v>0</v>
      </c>
      <c r="CM36">
        <v>0</v>
      </c>
      <c r="CN36" t="s">
        <v>3</v>
      </c>
      <c r="CO36">
        <v>0</v>
      </c>
      <c r="CP36">
        <f t="shared" si="34"/>
        <v>11585.439999999999</v>
      </c>
      <c r="CQ36">
        <f t="shared" si="35"/>
        <v>0</v>
      </c>
      <c r="CR36">
        <f t="shared" si="36"/>
        <v>16062.9056</v>
      </c>
      <c r="CS36">
        <f t="shared" si="37"/>
        <v>2997.422</v>
      </c>
      <c r="CT36">
        <f t="shared" si="38"/>
        <v>7107.9863999999989</v>
      </c>
      <c r="CU36">
        <f t="shared" si="39"/>
        <v>0</v>
      </c>
      <c r="CV36">
        <f t="shared" si="40"/>
        <v>24.32</v>
      </c>
      <c r="CW36">
        <f t="shared" si="41"/>
        <v>7.62</v>
      </c>
      <c r="CX36">
        <f t="shared" si="42"/>
        <v>0</v>
      </c>
      <c r="CY36">
        <f t="shared" si="43"/>
        <v>4901.1189999999997</v>
      </c>
      <c r="CZ36">
        <f t="shared" si="44"/>
        <v>2576.877</v>
      </c>
      <c r="DC36" t="s">
        <v>3</v>
      </c>
      <c r="DD36" t="s">
        <v>19</v>
      </c>
      <c r="DE36" t="s">
        <v>3</v>
      </c>
      <c r="DF36" t="s">
        <v>3</v>
      </c>
      <c r="DG36" t="s">
        <v>3</v>
      </c>
      <c r="DH36" t="s">
        <v>3</v>
      </c>
      <c r="DI36" t="s">
        <v>3</v>
      </c>
      <c r="DJ36" t="s">
        <v>3</v>
      </c>
      <c r="DK36" t="s">
        <v>3</v>
      </c>
      <c r="DL36" t="s">
        <v>3</v>
      </c>
      <c r="DM36" t="s">
        <v>3</v>
      </c>
      <c r="DN36">
        <v>0</v>
      </c>
      <c r="DO36">
        <v>0</v>
      </c>
      <c r="DP36">
        <v>1</v>
      </c>
      <c r="DQ36">
        <v>1</v>
      </c>
      <c r="DU36">
        <v>1013</v>
      </c>
      <c r="DV36" t="s">
        <v>66</v>
      </c>
      <c r="DW36" t="s">
        <v>66</v>
      </c>
      <c r="DX36">
        <v>1</v>
      </c>
      <c r="DZ36" t="s">
        <v>3</v>
      </c>
      <c r="EA36" t="s">
        <v>3</v>
      </c>
      <c r="EB36" t="s">
        <v>3</v>
      </c>
      <c r="EC36" t="s">
        <v>3</v>
      </c>
      <c r="EE36">
        <v>40523018</v>
      </c>
      <c r="EF36">
        <v>3</v>
      </c>
      <c r="EG36" t="s">
        <v>58</v>
      </c>
      <c r="EH36">
        <v>0</v>
      </c>
      <c r="EI36" t="s">
        <v>3</v>
      </c>
      <c r="EJ36">
        <v>2</v>
      </c>
      <c r="EK36">
        <v>108001</v>
      </c>
      <c r="EL36" t="s">
        <v>59</v>
      </c>
      <c r="EM36" t="s">
        <v>60</v>
      </c>
      <c r="EO36" t="s">
        <v>3</v>
      </c>
      <c r="EQ36">
        <v>0</v>
      </c>
      <c r="ER36">
        <v>1536.28</v>
      </c>
      <c r="ES36">
        <v>70.52</v>
      </c>
      <c r="ET36">
        <v>1247.1199999999999</v>
      </c>
      <c r="EU36">
        <v>92.2</v>
      </c>
      <c r="EV36">
        <v>218.64</v>
      </c>
      <c r="EW36">
        <v>24.32</v>
      </c>
      <c r="EX36">
        <v>7.62</v>
      </c>
      <c r="EY36">
        <v>0</v>
      </c>
      <c r="FQ36">
        <v>0</v>
      </c>
      <c r="FR36">
        <f t="shared" si="45"/>
        <v>0</v>
      </c>
      <c r="FS36">
        <v>0</v>
      </c>
      <c r="FX36">
        <v>97</v>
      </c>
      <c r="FY36">
        <v>51</v>
      </c>
      <c r="GA36" t="s">
        <v>3</v>
      </c>
      <c r="GD36">
        <v>1</v>
      </c>
      <c r="GF36">
        <v>-1276860604</v>
      </c>
      <c r="GG36">
        <v>2</v>
      </c>
      <c r="GH36">
        <v>1</v>
      </c>
      <c r="GI36">
        <v>2</v>
      </c>
      <c r="GJ36">
        <v>0</v>
      </c>
      <c r="GK36">
        <v>0</v>
      </c>
      <c r="GL36">
        <f t="shared" si="46"/>
        <v>0</v>
      </c>
      <c r="GM36">
        <f t="shared" si="47"/>
        <v>19063.439999999999</v>
      </c>
      <c r="GN36">
        <f t="shared" si="48"/>
        <v>0</v>
      </c>
      <c r="GO36">
        <f t="shared" si="49"/>
        <v>19063.439999999999</v>
      </c>
      <c r="GP36">
        <f t="shared" si="50"/>
        <v>0</v>
      </c>
      <c r="GR36">
        <v>0</v>
      </c>
      <c r="GS36">
        <v>3</v>
      </c>
      <c r="GT36">
        <v>0</v>
      </c>
      <c r="GU36" t="s">
        <v>3</v>
      </c>
      <c r="GV36">
        <f t="shared" si="51"/>
        <v>0</v>
      </c>
      <c r="GW36">
        <v>1</v>
      </c>
      <c r="GX36">
        <f t="shared" si="52"/>
        <v>0</v>
      </c>
      <c r="HA36">
        <v>0</v>
      </c>
      <c r="HB36">
        <v>0</v>
      </c>
      <c r="HC36">
        <f t="shared" si="53"/>
        <v>0</v>
      </c>
      <c r="HE36" t="s">
        <v>3</v>
      </c>
      <c r="HF36" t="s">
        <v>3</v>
      </c>
      <c r="HM36" t="s">
        <v>3</v>
      </c>
      <c r="HN36" t="s">
        <v>61</v>
      </c>
      <c r="HO36" t="s">
        <v>62</v>
      </c>
      <c r="HP36" t="s">
        <v>59</v>
      </c>
      <c r="HQ36" t="s">
        <v>59</v>
      </c>
      <c r="IK36">
        <v>0</v>
      </c>
    </row>
    <row r="37" spans="1:245" x14ac:dyDescent="0.2">
      <c r="A37">
        <v>17</v>
      </c>
      <c r="B37">
        <v>1</v>
      </c>
      <c r="C37">
        <f>ROW(SmtRes!A76)</f>
        <v>76</v>
      </c>
      <c r="D37">
        <f>ROW(EtalonRes!A76)</f>
        <v>76</v>
      </c>
      <c r="E37" t="s">
        <v>92</v>
      </c>
      <c r="F37" t="s">
        <v>93</v>
      </c>
      <c r="G37" t="s">
        <v>94</v>
      </c>
      <c r="H37" t="s">
        <v>95</v>
      </c>
      <c r="I37">
        <v>4</v>
      </c>
      <c r="J37">
        <v>0</v>
      </c>
      <c r="K37">
        <v>4</v>
      </c>
      <c r="O37">
        <f t="shared" si="14"/>
        <v>15665.92</v>
      </c>
      <c r="P37">
        <f t="shared" si="15"/>
        <v>0</v>
      </c>
      <c r="Q37">
        <f t="shared" si="16"/>
        <v>0</v>
      </c>
      <c r="R37">
        <f t="shared" si="17"/>
        <v>0</v>
      </c>
      <c r="S37">
        <f t="shared" si="18"/>
        <v>15665.92</v>
      </c>
      <c r="T37">
        <f t="shared" si="19"/>
        <v>0</v>
      </c>
      <c r="U37">
        <f t="shared" si="20"/>
        <v>53.6</v>
      </c>
      <c r="V37">
        <f t="shared" si="21"/>
        <v>0</v>
      </c>
      <c r="W37">
        <f t="shared" si="22"/>
        <v>0</v>
      </c>
      <c r="X37">
        <f t="shared" si="23"/>
        <v>15195.94</v>
      </c>
      <c r="Y37">
        <f t="shared" si="24"/>
        <v>7989.62</v>
      </c>
      <c r="AA37">
        <v>40777027</v>
      </c>
      <c r="AB37">
        <f t="shared" si="25"/>
        <v>120.47</v>
      </c>
      <c r="AC37">
        <f t="shared" si="26"/>
        <v>0</v>
      </c>
      <c r="AD37">
        <f t="shared" si="27"/>
        <v>0</v>
      </c>
      <c r="AE37">
        <f t="shared" si="28"/>
        <v>0</v>
      </c>
      <c r="AF37">
        <f t="shared" si="29"/>
        <v>120.47</v>
      </c>
      <c r="AG37">
        <f t="shared" si="30"/>
        <v>0</v>
      </c>
      <c r="AH37">
        <f t="shared" si="31"/>
        <v>13.4</v>
      </c>
      <c r="AI37">
        <f t="shared" si="32"/>
        <v>0</v>
      </c>
      <c r="AJ37">
        <f t="shared" si="33"/>
        <v>0</v>
      </c>
      <c r="AK37">
        <v>264.51</v>
      </c>
      <c r="AL37">
        <v>144.04</v>
      </c>
      <c r="AM37">
        <v>0</v>
      </c>
      <c r="AN37">
        <v>0</v>
      </c>
      <c r="AO37">
        <v>120.47</v>
      </c>
      <c r="AP37">
        <v>0</v>
      </c>
      <c r="AQ37">
        <v>13.4</v>
      </c>
      <c r="AR37">
        <v>0</v>
      </c>
      <c r="AS37">
        <v>0</v>
      </c>
      <c r="AT37">
        <v>97</v>
      </c>
      <c r="AU37">
        <v>51</v>
      </c>
      <c r="AV37">
        <v>1</v>
      </c>
      <c r="AW37">
        <v>1</v>
      </c>
      <c r="AZ37">
        <v>1</v>
      </c>
      <c r="BA37">
        <v>32.51</v>
      </c>
      <c r="BB37">
        <v>1</v>
      </c>
      <c r="BC37">
        <v>7.66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2</v>
      </c>
      <c r="BJ37" t="s">
        <v>96</v>
      </c>
      <c r="BM37">
        <v>108002</v>
      </c>
      <c r="BN37">
        <v>0</v>
      </c>
      <c r="BO37" t="s">
        <v>93</v>
      </c>
      <c r="BP37">
        <v>1</v>
      </c>
      <c r="BQ37">
        <v>3</v>
      </c>
      <c r="BR37">
        <v>0</v>
      </c>
      <c r="BS37">
        <v>32.51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97</v>
      </c>
      <c r="CA37">
        <v>51</v>
      </c>
      <c r="CB37" t="s">
        <v>3</v>
      </c>
      <c r="CE37">
        <v>0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34"/>
        <v>15665.92</v>
      </c>
      <c r="CQ37">
        <f t="shared" si="35"/>
        <v>0</v>
      </c>
      <c r="CR37">
        <f t="shared" si="36"/>
        <v>0</v>
      </c>
      <c r="CS37">
        <f t="shared" si="37"/>
        <v>0</v>
      </c>
      <c r="CT37">
        <f t="shared" si="38"/>
        <v>3916.4796999999999</v>
      </c>
      <c r="CU37">
        <f t="shared" si="39"/>
        <v>0</v>
      </c>
      <c r="CV37">
        <f t="shared" si="40"/>
        <v>13.4</v>
      </c>
      <c r="CW37">
        <f t="shared" si="41"/>
        <v>0</v>
      </c>
      <c r="CX37">
        <f t="shared" si="42"/>
        <v>0</v>
      </c>
      <c r="CY37">
        <f t="shared" si="43"/>
        <v>15195.9424</v>
      </c>
      <c r="CZ37">
        <f t="shared" si="44"/>
        <v>7989.6192000000001</v>
      </c>
      <c r="DC37" t="s">
        <v>3</v>
      </c>
      <c r="DD37" t="s">
        <v>19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1013</v>
      </c>
      <c r="DV37" t="s">
        <v>95</v>
      </c>
      <c r="DW37" t="s">
        <v>95</v>
      </c>
      <c r="DX37">
        <v>1</v>
      </c>
      <c r="DZ37" t="s">
        <v>3</v>
      </c>
      <c r="EA37" t="s">
        <v>3</v>
      </c>
      <c r="EB37" t="s">
        <v>3</v>
      </c>
      <c r="EC37" t="s">
        <v>3</v>
      </c>
      <c r="EE37">
        <v>40523020</v>
      </c>
      <c r="EF37">
        <v>3</v>
      </c>
      <c r="EG37" t="s">
        <v>58</v>
      </c>
      <c r="EH37">
        <v>0</v>
      </c>
      <c r="EI37" t="s">
        <v>3</v>
      </c>
      <c r="EJ37">
        <v>2</v>
      </c>
      <c r="EK37">
        <v>108002</v>
      </c>
      <c r="EL37" t="s">
        <v>97</v>
      </c>
      <c r="EM37" t="s">
        <v>60</v>
      </c>
      <c r="EO37" t="s">
        <v>3</v>
      </c>
      <c r="EQ37">
        <v>0</v>
      </c>
      <c r="ER37">
        <v>264.51</v>
      </c>
      <c r="ES37">
        <v>144.04</v>
      </c>
      <c r="ET37">
        <v>0</v>
      </c>
      <c r="EU37">
        <v>0</v>
      </c>
      <c r="EV37">
        <v>120.47</v>
      </c>
      <c r="EW37">
        <v>13.4</v>
      </c>
      <c r="EX37">
        <v>0</v>
      </c>
      <c r="EY37">
        <v>0</v>
      </c>
      <c r="FQ37">
        <v>0</v>
      </c>
      <c r="FR37">
        <f t="shared" si="45"/>
        <v>0</v>
      </c>
      <c r="FS37">
        <v>0</v>
      </c>
      <c r="FX37">
        <v>97</v>
      </c>
      <c r="FY37">
        <v>51</v>
      </c>
      <c r="GA37" t="s">
        <v>3</v>
      </c>
      <c r="GD37">
        <v>1</v>
      </c>
      <c r="GF37">
        <v>-337197052</v>
      </c>
      <c r="GG37">
        <v>2</v>
      </c>
      <c r="GH37">
        <v>1</v>
      </c>
      <c r="GI37">
        <v>2</v>
      </c>
      <c r="GJ37">
        <v>0</v>
      </c>
      <c r="GK37">
        <v>0</v>
      </c>
      <c r="GL37">
        <f t="shared" si="46"/>
        <v>0</v>
      </c>
      <c r="GM37">
        <f t="shared" si="47"/>
        <v>38851.480000000003</v>
      </c>
      <c r="GN37">
        <f t="shared" si="48"/>
        <v>0</v>
      </c>
      <c r="GO37">
        <f t="shared" si="49"/>
        <v>38851.480000000003</v>
      </c>
      <c r="GP37">
        <f t="shared" si="50"/>
        <v>0</v>
      </c>
      <c r="GR37">
        <v>0</v>
      </c>
      <c r="GS37">
        <v>3</v>
      </c>
      <c r="GT37">
        <v>0</v>
      </c>
      <c r="GU37" t="s">
        <v>3</v>
      </c>
      <c r="GV37">
        <f t="shared" si="51"/>
        <v>0</v>
      </c>
      <c r="GW37">
        <v>1</v>
      </c>
      <c r="GX37">
        <f t="shared" si="52"/>
        <v>0</v>
      </c>
      <c r="HA37">
        <v>0</v>
      </c>
      <c r="HB37">
        <v>0</v>
      </c>
      <c r="HC37">
        <f t="shared" si="53"/>
        <v>0</v>
      </c>
      <c r="HE37" t="s">
        <v>3</v>
      </c>
      <c r="HF37" t="s">
        <v>3</v>
      </c>
      <c r="HM37" t="s">
        <v>3</v>
      </c>
      <c r="HN37" t="s">
        <v>61</v>
      </c>
      <c r="HO37" t="s">
        <v>62</v>
      </c>
      <c r="HP37" t="s">
        <v>59</v>
      </c>
      <c r="HQ37" t="s">
        <v>59</v>
      </c>
      <c r="IK37">
        <v>0</v>
      </c>
    </row>
    <row r="38" spans="1:245" x14ac:dyDescent="0.2">
      <c r="A38">
        <v>17</v>
      </c>
      <c r="B38">
        <v>1</v>
      </c>
      <c r="C38">
        <f>ROW(SmtRes!A90)</f>
        <v>90</v>
      </c>
      <c r="D38">
        <f>ROW(EtalonRes!A90)</f>
        <v>90</v>
      </c>
      <c r="E38" t="s">
        <v>98</v>
      </c>
      <c r="F38" t="s">
        <v>99</v>
      </c>
      <c r="G38" t="s">
        <v>100</v>
      </c>
      <c r="H38" t="s">
        <v>101</v>
      </c>
      <c r="I38">
        <f>ROUND(16/100,9)</f>
        <v>0.16</v>
      </c>
      <c r="J38">
        <v>0</v>
      </c>
      <c r="K38">
        <f>ROUND(16/100,9)</f>
        <v>0.16</v>
      </c>
      <c r="O38">
        <f t="shared" si="14"/>
        <v>4915.01</v>
      </c>
      <c r="P38">
        <f t="shared" si="15"/>
        <v>0</v>
      </c>
      <c r="Q38">
        <f t="shared" si="16"/>
        <v>93.13</v>
      </c>
      <c r="R38">
        <f t="shared" si="17"/>
        <v>5.67</v>
      </c>
      <c r="S38">
        <f t="shared" si="18"/>
        <v>4821.88</v>
      </c>
      <c r="T38">
        <f t="shared" si="19"/>
        <v>0</v>
      </c>
      <c r="U38">
        <f t="shared" si="20"/>
        <v>16</v>
      </c>
      <c r="V38">
        <f t="shared" si="21"/>
        <v>1.44E-2</v>
      </c>
      <c r="W38">
        <f t="shared" si="22"/>
        <v>0</v>
      </c>
      <c r="X38">
        <f t="shared" si="23"/>
        <v>4682.72</v>
      </c>
      <c r="Y38">
        <f t="shared" si="24"/>
        <v>2462.0500000000002</v>
      </c>
      <c r="AA38">
        <v>40777027</v>
      </c>
      <c r="AB38">
        <f t="shared" si="25"/>
        <v>984.57</v>
      </c>
      <c r="AC38">
        <f t="shared" si="26"/>
        <v>0</v>
      </c>
      <c r="AD38">
        <f t="shared" si="27"/>
        <v>57.57</v>
      </c>
      <c r="AE38">
        <f t="shared" si="28"/>
        <v>1.0900000000000001</v>
      </c>
      <c r="AF38">
        <f t="shared" si="29"/>
        <v>927</v>
      </c>
      <c r="AG38">
        <f t="shared" si="30"/>
        <v>0</v>
      </c>
      <c r="AH38">
        <f t="shared" si="31"/>
        <v>100</v>
      </c>
      <c r="AI38">
        <f t="shared" si="32"/>
        <v>0.09</v>
      </c>
      <c r="AJ38">
        <f t="shared" si="33"/>
        <v>0</v>
      </c>
      <c r="AK38">
        <v>1483.36</v>
      </c>
      <c r="AL38">
        <v>498.79</v>
      </c>
      <c r="AM38">
        <v>57.57</v>
      </c>
      <c r="AN38">
        <v>1.0900000000000001</v>
      </c>
      <c r="AO38">
        <v>927</v>
      </c>
      <c r="AP38">
        <v>0</v>
      </c>
      <c r="AQ38">
        <v>100</v>
      </c>
      <c r="AR38">
        <v>0.09</v>
      </c>
      <c r="AS38">
        <v>0</v>
      </c>
      <c r="AT38">
        <v>97</v>
      </c>
      <c r="AU38">
        <v>51</v>
      </c>
      <c r="AV38">
        <v>1</v>
      </c>
      <c r="AW38">
        <v>1</v>
      </c>
      <c r="AZ38">
        <v>1</v>
      </c>
      <c r="BA38">
        <v>32.51</v>
      </c>
      <c r="BB38">
        <v>10.11</v>
      </c>
      <c r="BC38">
        <v>19.100000000000001</v>
      </c>
      <c r="BD38" t="s">
        <v>3</v>
      </c>
      <c r="BE38" t="s">
        <v>3</v>
      </c>
      <c r="BF38" t="s">
        <v>3</v>
      </c>
      <c r="BG38" t="s">
        <v>3</v>
      </c>
      <c r="BH38">
        <v>0</v>
      </c>
      <c r="BI38">
        <v>2</v>
      </c>
      <c r="BJ38" t="s">
        <v>102</v>
      </c>
      <c r="BM38">
        <v>108001</v>
      </c>
      <c r="BN38">
        <v>0</v>
      </c>
      <c r="BO38" t="s">
        <v>99</v>
      </c>
      <c r="BP38">
        <v>1</v>
      </c>
      <c r="BQ38">
        <v>3</v>
      </c>
      <c r="BR38">
        <v>0</v>
      </c>
      <c r="BS38">
        <v>32.51</v>
      </c>
      <c r="BT38">
        <v>1</v>
      </c>
      <c r="BU38">
        <v>1</v>
      </c>
      <c r="BV38">
        <v>1</v>
      </c>
      <c r="BW38">
        <v>1</v>
      </c>
      <c r="BX38">
        <v>1</v>
      </c>
      <c r="BY38" t="s">
        <v>3</v>
      </c>
      <c r="BZ38">
        <v>97</v>
      </c>
      <c r="CA38">
        <v>51</v>
      </c>
      <c r="CB38" t="s">
        <v>3</v>
      </c>
      <c r="CE38">
        <v>0</v>
      </c>
      <c r="CF38">
        <v>0</v>
      </c>
      <c r="CG38">
        <v>0</v>
      </c>
      <c r="CM38">
        <v>0</v>
      </c>
      <c r="CN38" t="s">
        <v>3</v>
      </c>
      <c r="CO38">
        <v>0</v>
      </c>
      <c r="CP38">
        <f t="shared" si="34"/>
        <v>4915.01</v>
      </c>
      <c r="CQ38">
        <f t="shared" si="35"/>
        <v>0</v>
      </c>
      <c r="CR38">
        <f t="shared" si="36"/>
        <v>582.03269999999998</v>
      </c>
      <c r="CS38">
        <f t="shared" si="37"/>
        <v>35.435900000000004</v>
      </c>
      <c r="CT38">
        <f t="shared" si="38"/>
        <v>30136.769999999997</v>
      </c>
      <c r="CU38">
        <f t="shared" si="39"/>
        <v>0</v>
      </c>
      <c r="CV38">
        <f t="shared" si="40"/>
        <v>100</v>
      </c>
      <c r="CW38">
        <f t="shared" si="41"/>
        <v>0.09</v>
      </c>
      <c r="CX38">
        <f t="shared" si="42"/>
        <v>0</v>
      </c>
      <c r="CY38">
        <f t="shared" si="43"/>
        <v>4682.7235000000001</v>
      </c>
      <c r="CZ38">
        <f t="shared" si="44"/>
        <v>2462.0505000000003</v>
      </c>
      <c r="DC38" t="s">
        <v>3</v>
      </c>
      <c r="DD38" t="s">
        <v>19</v>
      </c>
      <c r="DE38" t="s">
        <v>3</v>
      </c>
      <c r="DF38" t="s">
        <v>3</v>
      </c>
      <c r="DG38" t="s">
        <v>3</v>
      </c>
      <c r="DH38" t="s">
        <v>3</v>
      </c>
      <c r="DI38" t="s">
        <v>3</v>
      </c>
      <c r="DJ38" t="s">
        <v>3</v>
      </c>
      <c r="DK38" t="s">
        <v>3</v>
      </c>
      <c r="DL38" t="s">
        <v>3</v>
      </c>
      <c r="DM38" t="s">
        <v>3</v>
      </c>
      <c r="DN38">
        <v>0</v>
      </c>
      <c r="DO38">
        <v>0</v>
      </c>
      <c r="DP38">
        <v>1</v>
      </c>
      <c r="DQ38">
        <v>1</v>
      </c>
      <c r="DU38">
        <v>1013</v>
      </c>
      <c r="DV38" t="s">
        <v>101</v>
      </c>
      <c r="DW38" t="s">
        <v>101</v>
      </c>
      <c r="DX38">
        <v>1</v>
      </c>
      <c r="DZ38" t="s">
        <v>3</v>
      </c>
      <c r="EA38" t="s">
        <v>3</v>
      </c>
      <c r="EB38" t="s">
        <v>3</v>
      </c>
      <c r="EC38" t="s">
        <v>3</v>
      </c>
      <c r="EE38">
        <v>40523018</v>
      </c>
      <c r="EF38">
        <v>3</v>
      </c>
      <c r="EG38" t="s">
        <v>58</v>
      </c>
      <c r="EH38">
        <v>0</v>
      </c>
      <c r="EI38" t="s">
        <v>3</v>
      </c>
      <c r="EJ38">
        <v>2</v>
      </c>
      <c r="EK38">
        <v>108001</v>
      </c>
      <c r="EL38" t="s">
        <v>59</v>
      </c>
      <c r="EM38" t="s">
        <v>60</v>
      </c>
      <c r="EO38" t="s">
        <v>3</v>
      </c>
      <c r="EQ38">
        <v>0</v>
      </c>
      <c r="ER38">
        <v>1483.36</v>
      </c>
      <c r="ES38">
        <v>498.79</v>
      </c>
      <c r="ET38">
        <v>57.57</v>
      </c>
      <c r="EU38">
        <v>1.0900000000000001</v>
      </c>
      <c r="EV38">
        <v>927</v>
      </c>
      <c r="EW38">
        <v>100</v>
      </c>
      <c r="EX38">
        <v>0.09</v>
      </c>
      <c r="EY38">
        <v>0</v>
      </c>
      <c r="FQ38">
        <v>0</v>
      </c>
      <c r="FR38">
        <f t="shared" si="45"/>
        <v>0</v>
      </c>
      <c r="FS38">
        <v>0</v>
      </c>
      <c r="FX38">
        <v>97</v>
      </c>
      <c r="FY38">
        <v>51</v>
      </c>
      <c r="GA38" t="s">
        <v>3</v>
      </c>
      <c r="GD38">
        <v>1</v>
      </c>
      <c r="GF38">
        <v>1225769594</v>
      </c>
      <c r="GG38">
        <v>2</v>
      </c>
      <c r="GH38">
        <v>1</v>
      </c>
      <c r="GI38">
        <v>2</v>
      </c>
      <c r="GJ38">
        <v>0</v>
      </c>
      <c r="GK38">
        <v>0</v>
      </c>
      <c r="GL38">
        <f t="shared" si="46"/>
        <v>0</v>
      </c>
      <c r="GM38">
        <f t="shared" si="47"/>
        <v>12059.78</v>
      </c>
      <c r="GN38">
        <f t="shared" si="48"/>
        <v>0</v>
      </c>
      <c r="GO38">
        <f t="shared" si="49"/>
        <v>12059.78</v>
      </c>
      <c r="GP38">
        <f t="shared" si="50"/>
        <v>0</v>
      </c>
      <c r="GR38">
        <v>0</v>
      </c>
      <c r="GS38">
        <v>3</v>
      </c>
      <c r="GT38">
        <v>0</v>
      </c>
      <c r="GU38" t="s">
        <v>3</v>
      </c>
      <c r="GV38">
        <f t="shared" si="51"/>
        <v>0</v>
      </c>
      <c r="GW38">
        <v>1</v>
      </c>
      <c r="GX38">
        <f t="shared" si="52"/>
        <v>0</v>
      </c>
      <c r="HA38">
        <v>0</v>
      </c>
      <c r="HB38">
        <v>0</v>
      </c>
      <c r="HC38">
        <f t="shared" si="53"/>
        <v>0</v>
      </c>
      <c r="HE38" t="s">
        <v>3</v>
      </c>
      <c r="HF38" t="s">
        <v>3</v>
      </c>
      <c r="HM38" t="s">
        <v>3</v>
      </c>
      <c r="HN38" t="s">
        <v>61</v>
      </c>
      <c r="HO38" t="s">
        <v>62</v>
      </c>
      <c r="HP38" t="s">
        <v>59</v>
      </c>
      <c r="HQ38" t="s">
        <v>59</v>
      </c>
      <c r="IK38">
        <v>0</v>
      </c>
    </row>
    <row r="39" spans="1:245" x14ac:dyDescent="0.2">
      <c r="A39">
        <v>17</v>
      </c>
      <c r="B39">
        <v>1</v>
      </c>
      <c r="C39">
        <f>ROW(SmtRes!A107)</f>
        <v>107</v>
      </c>
      <c r="D39">
        <f>ROW(EtalonRes!A107)</f>
        <v>107</v>
      </c>
      <c r="E39" t="s">
        <v>103</v>
      </c>
      <c r="F39" t="s">
        <v>104</v>
      </c>
      <c r="G39" t="s">
        <v>486</v>
      </c>
      <c r="H39" t="s">
        <v>105</v>
      </c>
      <c r="I39">
        <f>ROUND(78/100,9)</f>
        <v>0.78</v>
      </c>
      <c r="J39">
        <v>0</v>
      </c>
      <c r="K39">
        <f>ROUND(78/100,9)</f>
        <v>0.78</v>
      </c>
      <c r="O39">
        <f t="shared" si="14"/>
        <v>233812.38</v>
      </c>
      <c r="P39">
        <f t="shared" si="15"/>
        <v>0</v>
      </c>
      <c r="Q39">
        <f t="shared" si="16"/>
        <v>213859.09</v>
      </c>
      <c r="R39">
        <f t="shared" si="17"/>
        <v>21787.68</v>
      </c>
      <c r="S39">
        <f t="shared" si="18"/>
        <v>19953.29</v>
      </c>
      <c r="T39">
        <f t="shared" si="19"/>
        <v>0</v>
      </c>
      <c r="U39">
        <f t="shared" si="20"/>
        <v>65.29379999999999</v>
      </c>
      <c r="V39">
        <f t="shared" si="21"/>
        <v>55.988400000000006</v>
      </c>
      <c r="W39">
        <f t="shared" si="22"/>
        <v>0</v>
      </c>
      <c r="X39">
        <f t="shared" si="23"/>
        <v>44245.43</v>
      </c>
      <c r="Y39">
        <f t="shared" si="24"/>
        <v>18783.439999999999</v>
      </c>
      <c r="AA39">
        <v>40777027</v>
      </c>
      <c r="AB39">
        <f t="shared" si="25"/>
        <v>44100.98</v>
      </c>
      <c r="AC39">
        <f t="shared" si="26"/>
        <v>0</v>
      </c>
      <c r="AD39">
        <f t="shared" si="27"/>
        <v>43314.11</v>
      </c>
      <c r="AE39">
        <f t="shared" si="28"/>
        <v>859.21</v>
      </c>
      <c r="AF39">
        <f t="shared" si="29"/>
        <v>786.87</v>
      </c>
      <c r="AG39">
        <f t="shared" si="30"/>
        <v>0</v>
      </c>
      <c r="AH39">
        <f t="shared" si="31"/>
        <v>83.71</v>
      </c>
      <c r="AI39">
        <f t="shared" si="32"/>
        <v>71.78</v>
      </c>
      <c r="AJ39">
        <f t="shared" si="33"/>
        <v>0</v>
      </c>
      <c r="AK39">
        <v>44636.72</v>
      </c>
      <c r="AL39">
        <v>535.74</v>
      </c>
      <c r="AM39">
        <v>43314.11</v>
      </c>
      <c r="AN39">
        <v>859.21</v>
      </c>
      <c r="AO39">
        <v>786.87</v>
      </c>
      <c r="AP39">
        <v>0</v>
      </c>
      <c r="AQ39">
        <v>83.71</v>
      </c>
      <c r="AR39">
        <v>71.78</v>
      </c>
      <c r="AS39">
        <v>0</v>
      </c>
      <c r="AT39">
        <v>106</v>
      </c>
      <c r="AU39">
        <v>45</v>
      </c>
      <c r="AV39">
        <v>1</v>
      </c>
      <c r="AW39">
        <v>1</v>
      </c>
      <c r="AZ39">
        <v>1</v>
      </c>
      <c r="BA39">
        <v>32.51</v>
      </c>
      <c r="BB39">
        <v>6.33</v>
      </c>
      <c r="BC39">
        <v>13.74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1</v>
      </c>
      <c r="BJ39" t="s">
        <v>106</v>
      </c>
      <c r="BM39">
        <v>4001</v>
      </c>
      <c r="BN39">
        <v>0</v>
      </c>
      <c r="BO39" t="s">
        <v>104</v>
      </c>
      <c r="BP39">
        <v>1</v>
      </c>
      <c r="BQ39">
        <v>2</v>
      </c>
      <c r="BR39">
        <v>0</v>
      </c>
      <c r="BS39">
        <v>32.51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106</v>
      </c>
      <c r="CA39">
        <v>45</v>
      </c>
      <c r="CB39" t="s">
        <v>3</v>
      </c>
      <c r="CE39">
        <v>0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34"/>
        <v>233812.38</v>
      </c>
      <c r="CQ39">
        <f t="shared" si="35"/>
        <v>0</v>
      </c>
      <c r="CR39">
        <f t="shared" si="36"/>
        <v>274178.31630000001</v>
      </c>
      <c r="CS39">
        <f t="shared" si="37"/>
        <v>27932.917099999999</v>
      </c>
      <c r="CT39">
        <f t="shared" si="38"/>
        <v>25581.143699999997</v>
      </c>
      <c r="CU39">
        <f t="shared" si="39"/>
        <v>0</v>
      </c>
      <c r="CV39">
        <f t="shared" si="40"/>
        <v>83.71</v>
      </c>
      <c r="CW39">
        <f t="shared" si="41"/>
        <v>71.78</v>
      </c>
      <c r="CX39">
        <f t="shared" si="42"/>
        <v>0</v>
      </c>
      <c r="CY39">
        <f t="shared" si="43"/>
        <v>44245.428200000002</v>
      </c>
      <c r="CZ39">
        <f t="shared" si="44"/>
        <v>18783.4365</v>
      </c>
      <c r="DC39" t="s">
        <v>3</v>
      </c>
      <c r="DD39" t="s">
        <v>19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1003</v>
      </c>
      <c r="DV39" t="s">
        <v>105</v>
      </c>
      <c r="DW39" t="s">
        <v>105</v>
      </c>
      <c r="DX39">
        <v>100</v>
      </c>
      <c r="DZ39" t="s">
        <v>3</v>
      </c>
      <c r="EA39" t="s">
        <v>3</v>
      </c>
      <c r="EB39" t="s">
        <v>3</v>
      </c>
      <c r="EC39" t="s">
        <v>3</v>
      </c>
      <c r="EE39">
        <v>40523173</v>
      </c>
      <c r="EF39">
        <v>2</v>
      </c>
      <c r="EG39" t="s">
        <v>20</v>
      </c>
      <c r="EH39">
        <v>4</v>
      </c>
      <c r="EI39" t="s">
        <v>107</v>
      </c>
      <c r="EJ39">
        <v>1</v>
      </c>
      <c r="EK39">
        <v>4001</v>
      </c>
      <c r="EL39" t="s">
        <v>107</v>
      </c>
      <c r="EM39" t="s">
        <v>108</v>
      </c>
      <c r="EO39" t="s">
        <v>3</v>
      </c>
      <c r="EQ39">
        <v>0</v>
      </c>
      <c r="ER39">
        <v>44636.72</v>
      </c>
      <c r="ES39">
        <v>535.74</v>
      </c>
      <c r="ET39">
        <v>43314.11</v>
      </c>
      <c r="EU39">
        <v>859.21</v>
      </c>
      <c r="EV39">
        <v>786.87</v>
      </c>
      <c r="EW39">
        <v>83.71</v>
      </c>
      <c r="EX39">
        <v>71.78</v>
      </c>
      <c r="EY39">
        <v>0</v>
      </c>
      <c r="FQ39">
        <v>0</v>
      </c>
      <c r="FR39">
        <f t="shared" si="45"/>
        <v>0</v>
      </c>
      <c r="FS39">
        <v>0</v>
      </c>
      <c r="FX39">
        <v>106</v>
      </c>
      <c r="FY39">
        <v>45</v>
      </c>
      <c r="GA39" t="s">
        <v>3</v>
      </c>
      <c r="GD39">
        <v>1</v>
      </c>
      <c r="GF39">
        <v>-1348198905</v>
      </c>
      <c r="GG39">
        <v>2</v>
      </c>
      <c r="GH39">
        <v>2</v>
      </c>
      <c r="GI39">
        <v>2</v>
      </c>
      <c r="GJ39">
        <v>0</v>
      </c>
      <c r="GK39">
        <v>0</v>
      </c>
      <c r="GL39">
        <f t="shared" si="46"/>
        <v>0</v>
      </c>
      <c r="GM39">
        <f t="shared" si="47"/>
        <v>296841.25</v>
      </c>
      <c r="GN39">
        <f t="shared" si="48"/>
        <v>296841.25</v>
      </c>
      <c r="GO39">
        <f t="shared" si="49"/>
        <v>0</v>
      </c>
      <c r="GP39">
        <f t="shared" si="50"/>
        <v>0</v>
      </c>
      <c r="GR39">
        <v>0</v>
      </c>
      <c r="GS39">
        <v>3</v>
      </c>
      <c r="GT39">
        <v>0</v>
      </c>
      <c r="GU39" t="s">
        <v>3</v>
      </c>
      <c r="GV39">
        <f t="shared" si="51"/>
        <v>0</v>
      </c>
      <c r="GW39">
        <v>1</v>
      </c>
      <c r="GX39">
        <f t="shared" si="52"/>
        <v>0</v>
      </c>
      <c r="HA39">
        <v>0</v>
      </c>
      <c r="HB39">
        <v>0</v>
      </c>
      <c r="HC39">
        <f t="shared" si="53"/>
        <v>0</v>
      </c>
      <c r="HE39" t="s">
        <v>3</v>
      </c>
      <c r="HF39" t="s">
        <v>3</v>
      </c>
      <c r="HM39" t="s">
        <v>3</v>
      </c>
      <c r="HN39" t="s">
        <v>109</v>
      </c>
      <c r="HO39" t="s">
        <v>110</v>
      </c>
      <c r="HP39" t="s">
        <v>107</v>
      </c>
      <c r="HQ39" t="s">
        <v>107</v>
      </c>
      <c r="IK39">
        <v>0</v>
      </c>
    </row>
    <row r="40" spans="1:245" x14ac:dyDescent="0.2">
      <c r="A40">
        <v>18</v>
      </c>
      <c r="B40">
        <v>1</v>
      </c>
      <c r="C40">
        <v>104</v>
      </c>
      <c r="E40" t="s">
        <v>111</v>
      </c>
      <c r="F40" t="s">
        <v>112</v>
      </c>
      <c r="G40" t="s">
        <v>113</v>
      </c>
      <c r="H40" t="s">
        <v>114</v>
      </c>
      <c r="I40">
        <f>I39*J40</f>
        <v>0</v>
      </c>
      <c r="J40">
        <v>0</v>
      </c>
      <c r="K40">
        <v>0</v>
      </c>
      <c r="O40">
        <f t="shared" si="14"/>
        <v>0</v>
      </c>
      <c r="P40">
        <f t="shared" si="15"/>
        <v>0</v>
      </c>
      <c r="Q40">
        <f t="shared" si="16"/>
        <v>0</v>
      </c>
      <c r="R40">
        <f t="shared" si="17"/>
        <v>0</v>
      </c>
      <c r="S40">
        <f t="shared" si="18"/>
        <v>0</v>
      </c>
      <c r="T40">
        <f t="shared" si="19"/>
        <v>0</v>
      </c>
      <c r="U40">
        <f t="shared" si="20"/>
        <v>0</v>
      </c>
      <c r="V40">
        <f t="shared" si="21"/>
        <v>0</v>
      </c>
      <c r="W40">
        <f t="shared" si="22"/>
        <v>0</v>
      </c>
      <c r="X40">
        <f t="shared" si="23"/>
        <v>0</v>
      </c>
      <c r="Y40">
        <f t="shared" si="24"/>
        <v>0</v>
      </c>
      <c r="AA40">
        <v>40777027</v>
      </c>
      <c r="AB40">
        <f t="shared" si="25"/>
        <v>0</v>
      </c>
      <c r="AC40">
        <f t="shared" ref="AC40:AC45" si="54">ROUND((ES40),2)</f>
        <v>0</v>
      </c>
      <c r="AD40">
        <f t="shared" si="27"/>
        <v>0</v>
      </c>
      <c r="AE40">
        <f t="shared" si="28"/>
        <v>0</v>
      </c>
      <c r="AF40">
        <f t="shared" si="29"/>
        <v>0</v>
      </c>
      <c r="AG40">
        <f t="shared" si="30"/>
        <v>0</v>
      </c>
      <c r="AH40">
        <f t="shared" si="31"/>
        <v>0</v>
      </c>
      <c r="AI40">
        <f t="shared" si="32"/>
        <v>0</v>
      </c>
      <c r="AJ40">
        <f t="shared" si="33"/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106</v>
      </c>
      <c r="AU40">
        <v>45</v>
      </c>
      <c r="AV40">
        <v>1</v>
      </c>
      <c r="AW40">
        <v>1</v>
      </c>
      <c r="AZ40">
        <v>1</v>
      </c>
      <c r="BA40">
        <v>1</v>
      </c>
      <c r="BB40">
        <v>1</v>
      </c>
      <c r="BC40">
        <v>1</v>
      </c>
      <c r="BD40" t="s">
        <v>3</v>
      </c>
      <c r="BE40" t="s">
        <v>3</v>
      </c>
      <c r="BF40" t="s">
        <v>3</v>
      </c>
      <c r="BG40" t="s">
        <v>3</v>
      </c>
      <c r="BH40">
        <v>3</v>
      </c>
      <c r="BI40">
        <v>1</v>
      </c>
      <c r="BJ40" t="s">
        <v>115</v>
      </c>
      <c r="BM40">
        <v>4001</v>
      </c>
      <c r="BN40">
        <v>0</v>
      </c>
      <c r="BO40" t="s">
        <v>3</v>
      </c>
      <c r="BP40">
        <v>0</v>
      </c>
      <c r="BQ40">
        <v>2</v>
      </c>
      <c r="BR40">
        <v>0</v>
      </c>
      <c r="BS40">
        <v>1</v>
      </c>
      <c r="BT40">
        <v>1</v>
      </c>
      <c r="BU40">
        <v>1</v>
      </c>
      <c r="BV40">
        <v>1</v>
      </c>
      <c r="BW40">
        <v>1</v>
      </c>
      <c r="BX40">
        <v>1</v>
      </c>
      <c r="BY40" t="s">
        <v>3</v>
      </c>
      <c r="BZ40">
        <v>106</v>
      </c>
      <c r="CA40">
        <v>45</v>
      </c>
      <c r="CB40" t="s">
        <v>3</v>
      </c>
      <c r="CE40">
        <v>0</v>
      </c>
      <c r="CF40">
        <v>0</v>
      </c>
      <c r="CG40">
        <v>0</v>
      </c>
      <c r="CM40">
        <v>0</v>
      </c>
      <c r="CN40" t="s">
        <v>3</v>
      </c>
      <c r="CO40">
        <v>0</v>
      </c>
      <c r="CP40">
        <f t="shared" si="34"/>
        <v>0</v>
      </c>
      <c r="CQ40">
        <f t="shared" si="35"/>
        <v>0</v>
      </c>
      <c r="CR40">
        <f t="shared" si="36"/>
        <v>0</v>
      </c>
      <c r="CS40">
        <f t="shared" si="37"/>
        <v>0</v>
      </c>
      <c r="CT40">
        <f t="shared" si="38"/>
        <v>0</v>
      </c>
      <c r="CU40">
        <f t="shared" si="39"/>
        <v>0</v>
      </c>
      <c r="CV40">
        <f t="shared" si="40"/>
        <v>0</v>
      </c>
      <c r="CW40">
        <f t="shared" si="41"/>
        <v>0</v>
      </c>
      <c r="CX40">
        <f t="shared" si="42"/>
        <v>0</v>
      </c>
      <c r="CY40">
        <f t="shared" si="43"/>
        <v>0</v>
      </c>
      <c r="CZ40">
        <f t="shared" si="44"/>
        <v>0</v>
      </c>
      <c r="DC40" t="s">
        <v>3</v>
      </c>
      <c r="DD40" t="s">
        <v>3</v>
      </c>
      <c r="DE40" t="s">
        <v>3</v>
      </c>
      <c r="DF40" t="s">
        <v>3</v>
      </c>
      <c r="DG40" t="s">
        <v>3</v>
      </c>
      <c r="DH40" t="s">
        <v>3</v>
      </c>
      <c r="DI40" t="s">
        <v>3</v>
      </c>
      <c r="DJ40" t="s">
        <v>3</v>
      </c>
      <c r="DK40" t="s">
        <v>3</v>
      </c>
      <c r="DL40" t="s">
        <v>3</v>
      </c>
      <c r="DM40" t="s">
        <v>3</v>
      </c>
      <c r="DN40">
        <v>0</v>
      </c>
      <c r="DO40">
        <v>0</v>
      </c>
      <c r="DP40">
        <v>1</v>
      </c>
      <c r="DQ40">
        <v>1</v>
      </c>
      <c r="DU40">
        <v>1003</v>
      </c>
      <c r="DV40" t="s">
        <v>114</v>
      </c>
      <c r="DW40" t="s">
        <v>114</v>
      </c>
      <c r="DX40">
        <v>1</v>
      </c>
      <c r="DZ40" t="s">
        <v>3</v>
      </c>
      <c r="EA40" t="s">
        <v>3</v>
      </c>
      <c r="EB40" t="s">
        <v>3</v>
      </c>
      <c r="EC40" t="s">
        <v>3</v>
      </c>
      <c r="EE40">
        <v>40523173</v>
      </c>
      <c r="EF40">
        <v>2</v>
      </c>
      <c r="EG40" t="s">
        <v>20</v>
      </c>
      <c r="EH40">
        <v>4</v>
      </c>
      <c r="EI40" t="s">
        <v>107</v>
      </c>
      <c r="EJ40">
        <v>1</v>
      </c>
      <c r="EK40">
        <v>4001</v>
      </c>
      <c r="EL40" t="s">
        <v>107</v>
      </c>
      <c r="EM40" t="s">
        <v>108</v>
      </c>
      <c r="EO40" t="s">
        <v>3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FQ40">
        <v>0</v>
      </c>
      <c r="FR40">
        <f t="shared" si="45"/>
        <v>0</v>
      </c>
      <c r="FS40">
        <v>0</v>
      </c>
      <c r="FX40">
        <v>106</v>
      </c>
      <c r="FY40">
        <v>45</v>
      </c>
      <c r="GA40" t="s">
        <v>3</v>
      </c>
      <c r="GD40">
        <v>1</v>
      </c>
      <c r="GF40">
        <v>-1977162428</v>
      </c>
      <c r="GG40">
        <v>2</v>
      </c>
      <c r="GH40">
        <v>1</v>
      </c>
      <c r="GI40">
        <v>-2</v>
      </c>
      <c r="GJ40">
        <v>0</v>
      </c>
      <c r="GK40">
        <v>0</v>
      </c>
      <c r="GL40">
        <f t="shared" si="46"/>
        <v>0</v>
      </c>
      <c r="GM40">
        <f t="shared" si="47"/>
        <v>0</v>
      </c>
      <c r="GN40">
        <f t="shared" si="48"/>
        <v>0</v>
      </c>
      <c r="GO40">
        <f t="shared" si="49"/>
        <v>0</v>
      </c>
      <c r="GP40">
        <f t="shared" si="50"/>
        <v>0</v>
      </c>
      <c r="GR40">
        <v>0</v>
      </c>
      <c r="GS40">
        <v>3</v>
      </c>
      <c r="GT40">
        <v>0</v>
      </c>
      <c r="GU40" t="s">
        <v>3</v>
      </c>
      <c r="GV40">
        <f t="shared" si="51"/>
        <v>0</v>
      </c>
      <c r="GW40">
        <v>1</v>
      </c>
      <c r="GX40">
        <f t="shared" si="52"/>
        <v>0</v>
      </c>
      <c r="HA40">
        <v>0</v>
      </c>
      <c r="HB40">
        <v>0</v>
      </c>
      <c r="HC40">
        <f t="shared" si="53"/>
        <v>0</v>
      </c>
      <c r="HE40" t="s">
        <v>3</v>
      </c>
      <c r="HF40" t="s">
        <v>3</v>
      </c>
      <c r="HM40" t="s">
        <v>19</v>
      </c>
      <c r="HN40" t="s">
        <v>109</v>
      </c>
      <c r="HO40" t="s">
        <v>110</v>
      </c>
      <c r="HP40" t="s">
        <v>107</v>
      </c>
      <c r="HQ40" t="s">
        <v>107</v>
      </c>
      <c r="IK40">
        <v>0</v>
      </c>
    </row>
    <row r="41" spans="1:245" x14ac:dyDescent="0.2">
      <c r="A41">
        <v>18</v>
      </c>
      <c r="B41">
        <v>1</v>
      </c>
      <c r="C41">
        <v>105</v>
      </c>
      <c r="E41" t="s">
        <v>116</v>
      </c>
      <c r="F41" t="s">
        <v>117</v>
      </c>
      <c r="G41" t="s">
        <v>118</v>
      </c>
      <c r="H41" t="s">
        <v>119</v>
      </c>
      <c r="I41">
        <f>I39*J41</f>
        <v>0</v>
      </c>
      <c r="J41">
        <v>0</v>
      </c>
      <c r="K41">
        <v>0</v>
      </c>
      <c r="O41">
        <f t="shared" si="14"/>
        <v>0</v>
      </c>
      <c r="P41">
        <f t="shared" si="15"/>
        <v>0</v>
      </c>
      <c r="Q41">
        <f t="shared" si="16"/>
        <v>0</v>
      </c>
      <c r="R41">
        <f t="shared" si="17"/>
        <v>0</v>
      </c>
      <c r="S41">
        <f t="shared" si="18"/>
        <v>0</v>
      </c>
      <c r="T41">
        <f t="shared" si="19"/>
        <v>0</v>
      </c>
      <c r="U41">
        <f t="shared" si="20"/>
        <v>0</v>
      </c>
      <c r="V41">
        <f t="shared" si="21"/>
        <v>0</v>
      </c>
      <c r="W41">
        <f t="shared" si="22"/>
        <v>0</v>
      </c>
      <c r="X41">
        <f t="shared" si="23"/>
        <v>0</v>
      </c>
      <c r="Y41">
        <f t="shared" si="24"/>
        <v>0</v>
      </c>
      <c r="AA41">
        <v>40777027</v>
      </c>
      <c r="AB41">
        <f t="shared" si="25"/>
        <v>65427.32</v>
      </c>
      <c r="AC41">
        <f t="shared" si="54"/>
        <v>65427.32</v>
      </c>
      <c r="AD41">
        <f t="shared" si="27"/>
        <v>0</v>
      </c>
      <c r="AE41">
        <f t="shared" si="28"/>
        <v>0</v>
      </c>
      <c r="AF41">
        <f t="shared" si="29"/>
        <v>0</v>
      </c>
      <c r="AG41">
        <f t="shared" si="30"/>
        <v>0</v>
      </c>
      <c r="AH41">
        <f t="shared" si="31"/>
        <v>0</v>
      </c>
      <c r="AI41">
        <f t="shared" si="32"/>
        <v>0</v>
      </c>
      <c r="AJ41">
        <f t="shared" si="33"/>
        <v>0</v>
      </c>
      <c r="AK41">
        <v>65427.32</v>
      </c>
      <c r="AL41">
        <v>65427.32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106</v>
      </c>
      <c r="AU41">
        <v>45</v>
      </c>
      <c r="AV41">
        <v>1</v>
      </c>
      <c r="AW41">
        <v>1</v>
      </c>
      <c r="AZ41">
        <v>1</v>
      </c>
      <c r="BA41">
        <v>1</v>
      </c>
      <c r="BB41">
        <v>1</v>
      </c>
      <c r="BC41">
        <v>14.41</v>
      </c>
      <c r="BD41" t="s">
        <v>3</v>
      </c>
      <c r="BE41" t="s">
        <v>3</v>
      </c>
      <c r="BF41" t="s">
        <v>3</v>
      </c>
      <c r="BG41" t="s">
        <v>3</v>
      </c>
      <c r="BH41">
        <v>3</v>
      </c>
      <c r="BI41">
        <v>1</v>
      </c>
      <c r="BJ41" t="s">
        <v>120</v>
      </c>
      <c r="BM41">
        <v>4001</v>
      </c>
      <c r="BN41">
        <v>0</v>
      </c>
      <c r="BO41" t="s">
        <v>117</v>
      </c>
      <c r="BP41">
        <v>1</v>
      </c>
      <c r="BQ41">
        <v>2</v>
      </c>
      <c r="BR41">
        <v>0</v>
      </c>
      <c r="BS41">
        <v>1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106</v>
      </c>
      <c r="CA41">
        <v>45</v>
      </c>
      <c r="CB41" t="s">
        <v>3</v>
      </c>
      <c r="CE41">
        <v>0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34"/>
        <v>0</v>
      </c>
      <c r="CQ41">
        <f t="shared" si="35"/>
        <v>942807.68119999999</v>
      </c>
      <c r="CR41">
        <f t="shared" si="36"/>
        <v>0</v>
      </c>
      <c r="CS41">
        <f t="shared" si="37"/>
        <v>0</v>
      </c>
      <c r="CT41">
        <f t="shared" si="38"/>
        <v>0</v>
      </c>
      <c r="CU41">
        <f t="shared" si="39"/>
        <v>0</v>
      </c>
      <c r="CV41">
        <f t="shared" si="40"/>
        <v>0</v>
      </c>
      <c r="CW41">
        <f t="shared" si="41"/>
        <v>0</v>
      </c>
      <c r="CX41">
        <f t="shared" si="42"/>
        <v>0</v>
      </c>
      <c r="CY41">
        <f t="shared" si="43"/>
        <v>0</v>
      </c>
      <c r="CZ41">
        <f t="shared" si="44"/>
        <v>0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1009</v>
      </c>
      <c r="DV41" t="s">
        <v>119</v>
      </c>
      <c r="DW41" t="s">
        <v>119</v>
      </c>
      <c r="DX41">
        <v>1000</v>
      </c>
      <c r="DZ41" t="s">
        <v>3</v>
      </c>
      <c r="EA41" t="s">
        <v>3</v>
      </c>
      <c r="EB41" t="s">
        <v>3</v>
      </c>
      <c r="EC41" t="s">
        <v>3</v>
      </c>
      <c r="EE41">
        <v>40523173</v>
      </c>
      <c r="EF41">
        <v>2</v>
      </c>
      <c r="EG41" t="s">
        <v>20</v>
      </c>
      <c r="EH41">
        <v>4</v>
      </c>
      <c r="EI41" t="s">
        <v>107</v>
      </c>
      <c r="EJ41">
        <v>1</v>
      </c>
      <c r="EK41">
        <v>4001</v>
      </c>
      <c r="EL41" t="s">
        <v>107</v>
      </c>
      <c r="EM41" t="s">
        <v>108</v>
      </c>
      <c r="EO41" t="s">
        <v>3</v>
      </c>
      <c r="EQ41">
        <v>0</v>
      </c>
      <c r="ER41">
        <v>65427.32</v>
      </c>
      <c r="ES41">
        <v>65427.32</v>
      </c>
      <c r="ET41">
        <v>0</v>
      </c>
      <c r="EU41">
        <v>0</v>
      </c>
      <c r="EV41">
        <v>0</v>
      </c>
      <c r="EW41">
        <v>0</v>
      </c>
      <c r="EX41">
        <v>0</v>
      </c>
      <c r="FQ41">
        <v>0</v>
      </c>
      <c r="FR41">
        <f t="shared" si="45"/>
        <v>0</v>
      </c>
      <c r="FS41">
        <v>0</v>
      </c>
      <c r="FX41">
        <v>106</v>
      </c>
      <c r="FY41">
        <v>45</v>
      </c>
      <c r="GA41" t="s">
        <v>3</v>
      </c>
      <c r="GD41">
        <v>1</v>
      </c>
      <c r="GF41">
        <v>1426474153</v>
      </c>
      <c r="GG41">
        <v>2</v>
      </c>
      <c r="GH41">
        <v>1</v>
      </c>
      <c r="GI41">
        <v>2</v>
      </c>
      <c r="GJ41">
        <v>0</v>
      </c>
      <c r="GK41">
        <v>0</v>
      </c>
      <c r="GL41">
        <f t="shared" si="46"/>
        <v>0</v>
      </c>
      <c r="GM41">
        <f t="shared" si="47"/>
        <v>0</v>
      </c>
      <c r="GN41">
        <f t="shared" si="48"/>
        <v>0</v>
      </c>
      <c r="GO41">
        <f t="shared" si="49"/>
        <v>0</v>
      </c>
      <c r="GP41">
        <f t="shared" si="50"/>
        <v>0</v>
      </c>
      <c r="GR41">
        <v>0</v>
      </c>
      <c r="GS41">
        <v>3</v>
      </c>
      <c r="GT41">
        <v>0</v>
      </c>
      <c r="GU41" t="s">
        <v>3</v>
      </c>
      <c r="GV41">
        <f t="shared" si="51"/>
        <v>0</v>
      </c>
      <c r="GW41">
        <v>1</v>
      </c>
      <c r="GX41">
        <f t="shared" si="52"/>
        <v>0</v>
      </c>
      <c r="HA41">
        <v>0</v>
      </c>
      <c r="HB41">
        <v>0</v>
      </c>
      <c r="HC41">
        <f t="shared" si="53"/>
        <v>0</v>
      </c>
      <c r="HE41" t="s">
        <v>3</v>
      </c>
      <c r="HF41" t="s">
        <v>3</v>
      </c>
      <c r="HM41" t="s">
        <v>19</v>
      </c>
      <c r="HN41" t="s">
        <v>109</v>
      </c>
      <c r="HO41" t="s">
        <v>110</v>
      </c>
      <c r="HP41" t="s">
        <v>107</v>
      </c>
      <c r="HQ41" t="s">
        <v>107</v>
      </c>
      <c r="IK41">
        <v>0</v>
      </c>
    </row>
    <row r="42" spans="1:245" x14ac:dyDescent="0.2">
      <c r="A42">
        <v>18</v>
      </c>
      <c r="B42">
        <v>1</v>
      </c>
      <c r="C42">
        <v>106</v>
      </c>
      <c r="E42" t="s">
        <v>121</v>
      </c>
      <c r="F42" t="s">
        <v>122</v>
      </c>
      <c r="G42" t="s">
        <v>123</v>
      </c>
      <c r="H42" t="s">
        <v>119</v>
      </c>
      <c r="I42">
        <f>I39*J42</f>
        <v>0</v>
      </c>
      <c r="J42">
        <v>0</v>
      </c>
      <c r="K42">
        <v>0</v>
      </c>
      <c r="O42">
        <f t="shared" si="14"/>
        <v>0</v>
      </c>
      <c r="P42">
        <f t="shared" si="15"/>
        <v>0</v>
      </c>
      <c r="Q42">
        <f t="shared" si="16"/>
        <v>0</v>
      </c>
      <c r="R42">
        <f t="shared" si="17"/>
        <v>0</v>
      </c>
      <c r="S42">
        <f t="shared" si="18"/>
        <v>0</v>
      </c>
      <c r="T42">
        <f t="shared" si="19"/>
        <v>0</v>
      </c>
      <c r="U42">
        <f t="shared" si="20"/>
        <v>0</v>
      </c>
      <c r="V42">
        <f t="shared" si="21"/>
        <v>0</v>
      </c>
      <c r="W42">
        <f t="shared" si="22"/>
        <v>0</v>
      </c>
      <c r="X42">
        <f t="shared" si="23"/>
        <v>0</v>
      </c>
      <c r="Y42">
        <f t="shared" si="24"/>
        <v>0</v>
      </c>
      <c r="AA42">
        <v>40777027</v>
      </c>
      <c r="AB42">
        <f t="shared" si="25"/>
        <v>728</v>
      </c>
      <c r="AC42">
        <f t="shared" si="54"/>
        <v>728</v>
      </c>
      <c r="AD42">
        <f t="shared" si="27"/>
        <v>0</v>
      </c>
      <c r="AE42">
        <f t="shared" si="28"/>
        <v>0</v>
      </c>
      <c r="AF42">
        <f t="shared" si="29"/>
        <v>0</v>
      </c>
      <c r="AG42">
        <f t="shared" si="30"/>
        <v>0</v>
      </c>
      <c r="AH42">
        <f t="shared" si="31"/>
        <v>0</v>
      </c>
      <c r="AI42">
        <f t="shared" si="32"/>
        <v>0</v>
      </c>
      <c r="AJ42">
        <f t="shared" si="33"/>
        <v>0</v>
      </c>
      <c r="AK42">
        <v>728</v>
      </c>
      <c r="AL42">
        <v>728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106</v>
      </c>
      <c r="AU42">
        <v>45</v>
      </c>
      <c r="AV42">
        <v>1</v>
      </c>
      <c r="AW42">
        <v>1</v>
      </c>
      <c r="AZ42">
        <v>1</v>
      </c>
      <c r="BA42">
        <v>1</v>
      </c>
      <c r="BB42">
        <v>1</v>
      </c>
      <c r="BC42">
        <v>8.8000000000000007</v>
      </c>
      <c r="BD42" t="s">
        <v>3</v>
      </c>
      <c r="BE42" t="s">
        <v>3</v>
      </c>
      <c r="BF42" t="s">
        <v>3</v>
      </c>
      <c r="BG42" t="s">
        <v>3</v>
      </c>
      <c r="BH42">
        <v>3</v>
      </c>
      <c r="BI42">
        <v>1</v>
      </c>
      <c r="BJ42" t="s">
        <v>124</v>
      </c>
      <c r="BM42">
        <v>4001</v>
      </c>
      <c r="BN42">
        <v>0</v>
      </c>
      <c r="BO42" t="s">
        <v>122</v>
      </c>
      <c r="BP42">
        <v>1</v>
      </c>
      <c r="BQ42">
        <v>2</v>
      </c>
      <c r="BR42">
        <v>0</v>
      </c>
      <c r="BS42">
        <v>1</v>
      </c>
      <c r="BT42">
        <v>1</v>
      </c>
      <c r="BU42">
        <v>1</v>
      </c>
      <c r="BV42">
        <v>1</v>
      </c>
      <c r="BW42">
        <v>1</v>
      </c>
      <c r="BX42">
        <v>1</v>
      </c>
      <c r="BY42" t="s">
        <v>3</v>
      </c>
      <c r="BZ42">
        <v>106</v>
      </c>
      <c r="CA42">
        <v>45</v>
      </c>
      <c r="CB42" t="s">
        <v>3</v>
      </c>
      <c r="CE42">
        <v>0</v>
      </c>
      <c r="CF42">
        <v>0</v>
      </c>
      <c r="CG42">
        <v>0</v>
      </c>
      <c r="CM42">
        <v>0</v>
      </c>
      <c r="CN42" t="s">
        <v>3</v>
      </c>
      <c r="CO42">
        <v>0</v>
      </c>
      <c r="CP42">
        <f t="shared" si="34"/>
        <v>0</v>
      </c>
      <c r="CQ42">
        <f t="shared" si="35"/>
        <v>6406.4000000000005</v>
      </c>
      <c r="CR42">
        <f t="shared" si="36"/>
        <v>0</v>
      </c>
      <c r="CS42">
        <f t="shared" si="37"/>
        <v>0</v>
      </c>
      <c r="CT42">
        <f t="shared" si="38"/>
        <v>0</v>
      </c>
      <c r="CU42">
        <f t="shared" si="39"/>
        <v>0</v>
      </c>
      <c r="CV42">
        <f t="shared" si="40"/>
        <v>0</v>
      </c>
      <c r="CW42">
        <f t="shared" si="41"/>
        <v>0</v>
      </c>
      <c r="CX42">
        <f t="shared" si="42"/>
        <v>0</v>
      </c>
      <c r="CY42">
        <f t="shared" si="43"/>
        <v>0</v>
      </c>
      <c r="CZ42">
        <f t="shared" si="44"/>
        <v>0</v>
      </c>
      <c r="DC42" t="s">
        <v>3</v>
      </c>
      <c r="DD42" t="s">
        <v>3</v>
      </c>
      <c r="DE42" t="s">
        <v>3</v>
      </c>
      <c r="DF42" t="s">
        <v>3</v>
      </c>
      <c r="DG42" t="s">
        <v>3</v>
      </c>
      <c r="DH42" t="s">
        <v>3</v>
      </c>
      <c r="DI42" t="s">
        <v>3</v>
      </c>
      <c r="DJ42" t="s">
        <v>3</v>
      </c>
      <c r="DK42" t="s">
        <v>3</v>
      </c>
      <c r="DL42" t="s">
        <v>3</v>
      </c>
      <c r="DM42" t="s">
        <v>3</v>
      </c>
      <c r="DN42">
        <v>0</v>
      </c>
      <c r="DO42">
        <v>0</v>
      </c>
      <c r="DP42">
        <v>1</v>
      </c>
      <c r="DQ42">
        <v>1</v>
      </c>
      <c r="DU42">
        <v>1009</v>
      </c>
      <c r="DV42" t="s">
        <v>119</v>
      </c>
      <c r="DW42" t="s">
        <v>119</v>
      </c>
      <c r="DX42">
        <v>1000</v>
      </c>
      <c r="DZ42" t="s">
        <v>3</v>
      </c>
      <c r="EA42" t="s">
        <v>3</v>
      </c>
      <c r="EB42" t="s">
        <v>3</v>
      </c>
      <c r="EC42" t="s">
        <v>3</v>
      </c>
      <c r="EE42">
        <v>40523173</v>
      </c>
      <c r="EF42">
        <v>2</v>
      </c>
      <c r="EG42" t="s">
        <v>20</v>
      </c>
      <c r="EH42">
        <v>4</v>
      </c>
      <c r="EI42" t="s">
        <v>107</v>
      </c>
      <c r="EJ42">
        <v>1</v>
      </c>
      <c r="EK42">
        <v>4001</v>
      </c>
      <c r="EL42" t="s">
        <v>107</v>
      </c>
      <c r="EM42" t="s">
        <v>108</v>
      </c>
      <c r="EO42" t="s">
        <v>3</v>
      </c>
      <c r="EQ42">
        <v>0</v>
      </c>
      <c r="ER42">
        <v>728</v>
      </c>
      <c r="ES42">
        <v>728</v>
      </c>
      <c r="ET42">
        <v>0</v>
      </c>
      <c r="EU42">
        <v>0</v>
      </c>
      <c r="EV42">
        <v>0</v>
      </c>
      <c r="EW42">
        <v>0</v>
      </c>
      <c r="EX42">
        <v>0</v>
      </c>
      <c r="FQ42">
        <v>0</v>
      </c>
      <c r="FR42">
        <f t="shared" si="45"/>
        <v>0</v>
      </c>
      <c r="FS42">
        <v>0</v>
      </c>
      <c r="FX42">
        <v>106</v>
      </c>
      <c r="FY42">
        <v>45</v>
      </c>
      <c r="GA42" t="s">
        <v>3</v>
      </c>
      <c r="GD42">
        <v>1</v>
      </c>
      <c r="GF42">
        <v>1594119397</v>
      </c>
      <c r="GG42">
        <v>2</v>
      </c>
      <c r="GH42">
        <v>1</v>
      </c>
      <c r="GI42">
        <v>2</v>
      </c>
      <c r="GJ42">
        <v>0</v>
      </c>
      <c r="GK42">
        <v>0</v>
      </c>
      <c r="GL42">
        <f t="shared" si="46"/>
        <v>0</v>
      </c>
      <c r="GM42">
        <f t="shared" si="47"/>
        <v>0</v>
      </c>
      <c r="GN42">
        <f t="shared" si="48"/>
        <v>0</v>
      </c>
      <c r="GO42">
        <f t="shared" si="49"/>
        <v>0</v>
      </c>
      <c r="GP42">
        <f t="shared" si="50"/>
        <v>0</v>
      </c>
      <c r="GR42">
        <v>0</v>
      </c>
      <c r="GS42">
        <v>3</v>
      </c>
      <c r="GT42">
        <v>0</v>
      </c>
      <c r="GU42" t="s">
        <v>3</v>
      </c>
      <c r="GV42">
        <f t="shared" si="51"/>
        <v>0</v>
      </c>
      <c r="GW42">
        <v>1</v>
      </c>
      <c r="GX42">
        <f t="shared" si="52"/>
        <v>0</v>
      </c>
      <c r="HA42">
        <v>0</v>
      </c>
      <c r="HB42">
        <v>0</v>
      </c>
      <c r="HC42">
        <f t="shared" si="53"/>
        <v>0</v>
      </c>
      <c r="HE42" t="s">
        <v>3</v>
      </c>
      <c r="HF42" t="s">
        <v>3</v>
      </c>
      <c r="HM42" t="s">
        <v>19</v>
      </c>
      <c r="HN42" t="s">
        <v>109</v>
      </c>
      <c r="HO42" t="s">
        <v>110</v>
      </c>
      <c r="HP42" t="s">
        <v>107</v>
      </c>
      <c r="HQ42" t="s">
        <v>107</v>
      </c>
      <c r="IK42">
        <v>0</v>
      </c>
    </row>
    <row r="43" spans="1:245" x14ac:dyDescent="0.2">
      <c r="A43">
        <v>17</v>
      </c>
      <c r="B43">
        <v>1</v>
      </c>
      <c r="C43">
        <f>ROW(SmtRes!A112)</f>
        <v>112</v>
      </c>
      <c r="D43">
        <f>ROW(EtalonRes!A112)</f>
        <v>112</v>
      </c>
      <c r="E43" t="s">
        <v>125</v>
      </c>
      <c r="F43" t="s">
        <v>126</v>
      </c>
      <c r="G43" t="s">
        <v>127</v>
      </c>
      <c r="H43" t="s">
        <v>128</v>
      </c>
      <c r="I43">
        <f>ROUND(25/100,9)</f>
        <v>0.25</v>
      </c>
      <c r="J43">
        <v>0</v>
      </c>
      <c r="K43">
        <f>ROUND(25/100,9)</f>
        <v>0.25</v>
      </c>
      <c r="O43">
        <f t="shared" si="14"/>
        <v>4916.83</v>
      </c>
      <c r="P43">
        <f t="shared" si="15"/>
        <v>2779.5</v>
      </c>
      <c r="Q43">
        <f t="shared" si="16"/>
        <v>18.98</v>
      </c>
      <c r="R43">
        <f t="shared" si="17"/>
        <v>6.91</v>
      </c>
      <c r="S43">
        <f t="shared" si="18"/>
        <v>2118.35</v>
      </c>
      <c r="T43">
        <f t="shared" si="19"/>
        <v>0</v>
      </c>
      <c r="U43">
        <f t="shared" si="20"/>
        <v>8.77</v>
      </c>
      <c r="V43">
        <f t="shared" si="21"/>
        <v>1.7500000000000002E-2</v>
      </c>
      <c r="W43">
        <f t="shared" si="22"/>
        <v>0</v>
      </c>
      <c r="X43">
        <f t="shared" si="23"/>
        <v>2189.02</v>
      </c>
      <c r="Y43">
        <f t="shared" si="24"/>
        <v>1530.19</v>
      </c>
      <c r="AA43">
        <v>40777027</v>
      </c>
      <c r="AB43">
        <f t="shared" si="25"/>
        <v>2307.19</v>
      </c>
      <c r="AC43">
        <f t="shared" si="54"/>
        <v>2040</v>
      </c>
      <c r="AD43">
        <f t="shared" si="27"/>
        <v>6.55</v>
      </c>
      <c r="AE43">
        <f t="shared" si="28"/>
        <v>0.85</v>
      </c>
      <c r="AF43">
        <f t="shared" si="29"/>
        <v>260.64</v>
      </c>
      <c r="AG43">
        <f t="shared" si="30"/>
        <v>0</v>
      </c>
      <c r="AH43">
        <f t="shared" si="31"/>
        <v>35.08</v>
      </c>
      <c r="AI43">
        <f t="shared" si="32"/>
        <v>7.0000000000000007E-2</v>
      </c>
      <c r="AJ43">
        <f t="shared" si="33"/>
        <v>0</v>
      </c>
      <c r="AK43">
        <v>2307.19</v>
      </c>
      <c r="AL43">
        <v>2040</v>
      </c>
      <c r="AM43">
        <v>6.55</v>
      </c>
      <c r="AN43">
        <v>0.85</v>
      </c>
      <c r="AO43">
        <v>260.64</v>
      </c>
      <c r="AP43">
        <v>0</v>
      </c>
      <c r="AQ43">
        <v>35.08</v>
      </c>
      <c r="AR43">
        <v>7.0000000000000007E-2</v>
      </c>
      <c r="AS43">
        <v>0</v>
      </c>
      <c r="AT43">
        <v>103</v>
      </c>
      <c r="AU43">
        <v>72</v>
      </c>
      <c r="AV43">
        <v>1</v>
      </c>
      <c r="AW43">
        <v>1</v>
      </c>
      <c r="AZ43">
        <v>1</v>
      </c>
      <c r="BA43">
        <v>32.51</v>
      </c>
      <c r="BB43">
        <v>11.59</v>
      </c>
      <c r="BC43">
        <v>5.45</v>
      </c>
      <c r="BD43" t="s">
        <v>3</v>
      </c>
      <c r="BE43" t="s">
        <v>3</v>
      </c>
      <c r="BF43" t="s">
        <v>3</v>
      </c>
      <c r="BG43" t="s">
        <v>3</v>
      </c>
      <c r="BH43">
        <v>0</v>
      </c>
      <c r="BI43">
        <v>1</v>
      </c>
      <c r="BJ43" t="s">
        <v>129</v>
      </c>
      <c r="BM43">
        <v>47001</v>
      </c>
      <c r="BN43">
        <v>0</v>
      </c>
      <c r="BO43" t="s">
        <v>126</v>
      </c>
      <c r="BP43">
        <v>1</v>
      </c>
      <c r="BQ43">
        <v>2</v>
      </c>
      <c r="BR43">
        <v>0</v>
      </c>
      <c r="BS43">
        <v>32.51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103</v>
      </c>
      <c r="CA43">
        <v>72</v>
      </c>
      <c r="CB43" t="s">
        <v>3</v>
      </c>
      <c r="CE43">
        <v>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34"/>
        <v>4916.83</v>
      </c>
      <c r="CQ43">
        <f t="shared" si="35"/>
        <v>11118</v>
      </c>
      <c r="CR43">
        <f t="shared" si="36"/>
        <v>75.914500000000004</v>
      </c>
      <c r="CS43">
        <f t="shared" si="37"/>
        <v>27.633499999999998</v>
      </c>
      <c r="CT43">
        <f t="shared" si="38"/>
        <v>8473.4063999999998</v>
      </c>
      <c r="CU43">
        <f t="shared" si="39"/>
        <v>0</v>
      </c>
      <c r="CV43">
        <f t="shared" si="40"/>
        <v>35.08</v>
      </c>
      <c r="CW43">
        <f t="shared" si="41"/>
        <v>7.0000000000000007E-2</v>
      </c>
      <c r="CX43">
        <f t="shared" si="42"/>
        <v>0</v>
      </c>
      <c r="CY43">
        <f t="shared" si="43"/>
        <v>2189.0177999999996</v>
      </c>
      <c r="CZ43">
        <f t="shared" si="44"/>
        <v>1530.1871999999996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1005</v>
      </c>
      <c r="DV43" t="s">
        <v>128</v>
      </c>
      <c r="DW43" t="s">
        <v>128</v>
      </c>
      <c r="DX43">
        <v>100</v>
      </c>
      <c r="DZ43" t="s">
        <v>3</v>
      </c>
      <c r="EA43" t="s">
        <v>3</v>
      </c>
      <c r="EB43" t="s">
        <v>3</v>
      </c>
      <c r="EC43" t="s">
        <v>3</v>
      </c>
      <c r="EE43">
        <v>40523305</v>
      </c>
      <c r="EF43">
        <v>2</v>
      </c>
      <c r="EG43" t="s">
        <v>20</v>
      </c>
      <c r="EH43">
        <v>41</v>
      </c>
      <c r="EI43" t="s">
        <v>130</v>
      </c>
      <c r="EJ43">
        <v>1</v>
      </c>
      <c r="EK43">
        <v>47001</v>
      </c>
      <c r="EL43" t="s">
        <v>130</v>
      </c>
      <c r="EM43" t="s">
        <v>131</v>
      </c>
      <c r="EO43" t="s">
        <v>3</v>
      </c>
      <c r="EQ43">
        <v>0</v>
      </c>
      <c r="ER43">
        <v>2307.19</v>
      </c>
      <c r="ES43">
        <v>2040</v>
      </c>
      <c r="ET43">
        <v>6.55</v>
      </c>
      <c r="EU43">
        <v>0.85</v>
      </c>
      <c r="EV43">
        <v>260.64</v>
      </c>
      <c r="EW43">
        <v>35.08</v>
      </c>
      <c r="EX43">
        <v>7.0000000000000007E-2</v>
      </c>
      <c r="EY43">
        <v>0</v>
      </c>
      <c r="FQ43">
        <v>0</v>
      </c>
      <c r="FR43">
        <f t="shared" si="45"/>
        <v>0</v>
      </c>
      <c r="FS43">
        <v>0</v>
      </c>
      <c r="FX43">
        <v>103</v>
      </c>
      <c r="FY43">
        <v>72</v>
      </c>
      <c r="GA43" t="s">
        <v>3</v>
      </c>
      <c r="GD43">
        <v>1</v>
      </c>
      <c r="GF43">
        <v>-1581925232</v>
      </c>
      <c r="GG43">
        <v>2</v>
      </c>
      <c r="GH43">
        <v>1</v>
      </c>
      <c r="GI43">
        <v>2</v>
      </c>
      <c r="GJ43">
        <v>0</v>
      </c>
      <c r="GK43">
        <v>0</v>
      </c>
      <c r="GL43">
        <f t="shared" si="46"/>
        <v>0</v>
      </c>
      <c r="GM43">
        <f t="shared" si="47"/>
        <v>8636.0400000000009</v>
      </c>
      <c r="GN43">
        <f t="shared" si="48"/>
        <v>8636.0400000000009</v>
      </c>
      <c r="GO43">
        <f t="shared" si="49"/>
        <v>0</v>
      </c>
      <c r="GP43">
        <f t="shared" si="50"/>
        <v>0</v>
      </c>
      <c r="GR43">
        <v>0</v>
      </c>
      <c r="GS43">
        <v>3</v>
      </c>
      <c r="GT43">
        <v>0</v>
      </c>
      <c r="GU43" t="s">
        <v>3</v>
      </c>
      <c r="GV43">
        <f t="shared" si="51"/>
        <v>0</v>
      </c>
      <c r="GW43">
        <v>1</v>
      </c>
      <c r="GX43">
        <f t="shared" si="52"/>
        <v>0</v>
      </c>
      <c r="HA43">
        <v>0</v>
      </c>
      <c r="HB43">
        <v>0</v>
      </c>
      <c r="HC43">
        <f t="shared" si="53"/>
        <v>0</v>
      </c>
      <c r="HE43" t="s">
        <v>3</v>
      </c>
      <c r="HF43" t="s">
        <v>3</v>
      </c>
      <c r="HM43" t="s">
        <v>3</v>
      </c>
      <c r="HN43" t="s">
        <v>132</v>
      </c>
      <c r="HO43" t="s">
        <v>133</v>
      </c>
      <c r="HP43" t="s">
        <v>130</v>
      </c>
      <c r="HQ43" t="s">
        <v>130</v>
      </c>
      <c r="IK43">
        <v>0</v>
      </c>
    </row>
    <row r="44" spans="1:245" x14ac:dyDescent="0.2">
      <c r="A44">
        <v>17</v>
      </c>
      <c r="B44">
        <v>1</v>
      </c>
      <c r="C44">
        <f>ROW(SmtRes!A118)</f>
        <v>118</v>
      </c>
      <c r="D44">
        <f>ROW(EtalonRes!A117)</f>
        <v>117</v>
      </c>
      <c r="E44" t="s">
        <v>134</v>
      </c>
      <c r="F44" t="s">
        <v>135</v>
      </c>
      <c r="G44" t="s">
        <v>136</v>
      </c>
      <c r="H44" t="s">
        <v>128</v>
      </c>
      <c r="I44">
        <f>ROUND(25/100,9)</f>
        <v>0.25</v>
      </c>
      <c r="J44">
        <v>0</v>
      </c>
      <c r="K44">
        <f>ROUND(25/100,9)</f>
        <v>0.25</v>
      </c>
      <c r="O44">
        <f t="shared" si="14"/>
        <v>1708.42</v>
      </c>
      <c r="P44">
        <f t="shared" si="15"/>
        <v>274.14999999999998</v>
      </c>
      <c r="Q44">
        <f t="shared" si="16"/>
        <v>1049.68</v>
      </c>
      <c r="R44">
        <f t="shared" si="17"/>
        <v>230.5</v>
      </c>
      <c r="S44">
        <f t="shared" si="18"/>
        <v>384.59</v>
      </c>
      <c r="T44">
        <f t="shared" si="19"/>
        <v>0</v>
      </c>
      <c r="U44">
        <f t="shared" si="20"/>
        <v>1.4975000000000001</v>
      </c>
      <c r="V44">
        <f t="shared" si="21"/>
        <v>0.68500000000000005</v>
      </c>
      <c r="W44">
        <f t="shared" si="22"/>
        <v>0</v>
      </c>
      <c r="X44">
        <f t="shared" si="23"/>
        <v>633.54</v>
      </c>
      <c r="Y44">
        <f t="shared" si="24"/>
        <v>442.86</v>
      </c>
      <c r="AA44">
        <v>40777027</v>
      </c>
      <c r="AB44">
        <f t="shared" si="25"/>
        <v>695.65</v>
      </c>
      <c r="AC44">
        <f t="shared" si="54"/>
        <v>321.58</v>
      </c>
      <c r="AD44">
        <f t="shared" si="27"/>
        <v>326.75</v>
      </c>
      <c r="AE44">
        <f t="shared" si="28"/>
        <v>28.36</v>
      </c>
      <c r="AF44">
        <f t="shared" si="29"/>
        <v>47.32</v>
      </c>
      <c r="AG44">
        <f t="shared" si="30"/>
        <v>0</v>
      </c>
      <c r="AH44">
        <f t="shared" si="31"/>
        <v>5.99</v>
      </c>
      <c r="AI44">
        <f t="shared" si="32"/>
        <v>2.74</v>
      </c>
      <c r="AJ44">
        <f t="shared" si="33"/>
        <v>0</v>
      </c>
      <c r="AK44">
        <v>695.65</v>
      </c>
      <c r="AL44">
        <v>321.58</v>
      </c>
      <c r="AM44">
        <v>326.75</v>
      </c>
      <c r="AN44">
        <v>28.36</v>
      </c>
      <c r="AO44">
        <v>47.32</v>
      </c>
      <c r="AP44">
        <v>0</v>
      </c>
      <c r="AQ44">
        <v>5.99</v>
      </c>
      <c r="AR44">
        <v>2.74</v>
      </c>
      <c r="AS44">
        <v>0</v>
      </c>
      <c r="AT44">
        <v>103</v>
      </c>
      <c r="AU44">
        <v>72</v>
      </c>
      <c r="AV44">
        <v>1</v>
      </c>
      <c r="AW44">
        <v>1</v>
      </c>
      <c r="AZ44">
        <v>1</v>
      </c>
      <c r="BA44">
        <v>32.51</v>
      </c>
      <c r="BB44">
        <v>12.85</v>
      </c>
      <c r="BC44">
        <v>3.41</v>
      </c>
      <c r="BD44" t="s">
        <v>3</v>
      </c>
      <c r="BE44" t="s">
        <v>3</v>
      </c>
      <c r="BF44" t="s">
        <v>3</v>
      </c>
      <c r="BG44" t="s">
        <v>3</v>
      </c>
      <c r="BH44">
        <v>0</v>
      </c>
      <c r="BI44">
        <v>1</v>
      </c>
      <c r="BJ44" t="s">
        <v>137</v>
      </c>
      <c r="BM44">
        <v>47001</v>
      </c>
      <c r="BN44">
        <v>0</v>
      </c>
      <c r="BO44" t="s">
        <v>135</v>
      </c>
      <c r="BP44">
        <v>1</v>
      </c>
      <c r="BQ44">
        <v>2</v>
      </c>
      <c r="BR44">
        <v>0</v>
      </c>
      <c r="BS44">
        <v>32.51</v>
      </c>
      <c r="BT44">
        <v>1</v>
      </c>
      <c r="BU44">
        <v>1</v>
      </c>
      <c r="BV44">
        <v>1</v>
      </c>
      <c r="BW44">
        <v>1</v>
      </c>
      <c r="BX44">
        <v>1</v>
      </c>
      <c r="BY44" t="s">
        <v>3</v>
      </c>
      <c r="BZ44">
        <v>103</v>
      </c>
      <c r="CA44">
        <v>72</v>
      </c>
      <c r="CB44" t="s">
        <v>3</v>
      </c>
      <c r="CE44">
        <v>0</v>
      </c>
      <c r="CF44">
        <v>0</v>
      </c>
      <c r="CG44">
        <v>0</v>
      </c>
      <c r="CM44">
        <v>0</v>
      </c>
      <c r="CN44" t="s">
        <v>3</v>
      </c>
      <c r="CO44">
        <v>0</v>
      </c>
      <c r="CP44">
        <f t="shared" si="34"/>
        <v>1708.4199999999998</v>
      </c>
      <c r="CQ44">
        <f t="shared" si="35"/>
        <v>1096.5878</v>
      </c>
      <c r="CR44">
        <f t="shared" si="36"/>
        <v>4198.7375000000002</v>
      </c>
      <c r="CS44">
        <f t="shared" si="37"/>
        <v>921.98359999999991</v>
      </c>
      <c r="CT44">
        <f t="shared" si="38"/>
        <v>1538.3732</v>
      </c>
      <c r="CU44">
        <f t="shared" si="39"/>
        <v>0</v>
      </c>
      <c r="CV44">
        <f t="shared" si="40"/>
        <v>5.99</v>
      </c>
      <c r="CW44">
        <f t="shared" si="41"/>
        <v>2.74</v>
      </c>
      <c r="CX44">
        <f t="shared" si="42"/>
        <v>0</v>
      </c>
      <c r="CY44">
        <f t="shared" si="43"/>
        <v>633.54269999999985</v>
      </c>
      <c r="CZ44">
        <f t="shared" si="44"/>
        <v>442.86479999999995</v>
      </c>
      <c r="DC44" t="s">
        <v>3</v>
      </c>
      <c r="DD44" t="s">
        <v>3</v>
      </c>
      <c r="DE44" t="s">
        <v>3</v>
      </c>
      <c r="DF44" t="s">
        <v>3</v>
      </c>
      <c r="DG44" t="s">
        <v>3</v>
      </c>
      <c r="DH44" t="s">
        <v>3</v>
      </c>
      <c r="DI44" t="s">
        <v>3</v>
      </c>
      <c r="DJ44" t="s">
        <v>3</v>
      </c>
      <c r="DK44" t="s">
        <v>3</v>
      </c>
      <c r="DL44" t="s">
        <v>3</v>
      </c>
      <c r="DM44" t="s">
        <v>3</v>
      </c>
      <c r="DN44">
        <v>0</v>
      </c>
      <c r="DO44">
        <v>0</v>
      </c>
      <c r="DP44">
        <v>1</v>
      </c>
      <c r="DQ44">
        <v>1</v>
      </c>
      <c r="DU44">
        <v>1005</v>
      </c>
      <c r="DV44" t="s">
        <v>128</v>
      </c>
      <c r="DW44" t="s">
        <v>128</v>
      </c>
      <c r="DX44">
        <v>100</v>
      </c>
      <c r="DZ44" t="s">
        <v>3</v>
      </c>
      <c r="EA44" t="s">
        <v>3</v>
      </c>
      <c r="EB44" t="s">
        <v>3</v>
      </c>
      <c r="EC44" t="s">
        <v>3</v>
      </c>
      <c r="EE44">
        <v>40523305</v>
      </c>
      <c r="EF44">
        <v>2</v>
      </c>
      <c r="EG44" t="s">
        <v>20</v>
      </c>
      <c r="EH44">
        <v>41</v>
      </c>
      <c r="EI44" t="s">
        <v>130</v>
      </c>
      <c r="EJ44">
        <v>1</v>
      </c>
      <c r="EK44">
        <v>47001</v>
      </c>
      <c r="EL44" t="s">
        <v>130</v>
      </c>
      <c r="EM44" t="s">
        <v>131</v>
      </c>
      <c r="EO44" t="s">
        <v>3</v>
      </c>
      <c r="EQ44">
        <v>0</v>
      </c>
      <c r="ER44">
        <v>695.65</v>
      </c>
      <c r="ES44">
        <v>321.58</v>
      </c>
      <c r="ET44">
        <v>326.75</v>
      </c>
      <c r="EU44">
        <v>28.36</v>
      </c>
      <c r="EV44">
        <v>47.32</v>
      </c>
      <c r="EW44">
        <v>5.99</v>
      </c>
      <c r="EX44">
        <v>2.74</v>
      </c>
      <c r="EY44">
        <v>0</v>
      </c>
      <c r="FQ44">
        <v>0</v>
      </c>
      <c r="FR44">
        <f t="shared" si="45"/>
        <v>0</v>
      </c>
      <c r="FS44">
        <v>0</v>
      </c>
      <c r="FX44">
        <v>103</v>
      </c>
      <c r="FY44">
        <v>72</v>
      </c>
      <c r="GA44" t="s">
        <v>3</v>
      </c>
      <c r="GD44">
        <v>1</v>
      </c>
      <c r="GF44">
        <v>386218942</v>
      </c>
      <c r="GG44">
        <v>2</v>
      </c>
      <c r="GH44">
        <v>1</v>
      </c>
      <c r="GI44">
        <v>2</v>
      </c>
      <c r="GJ44">
        <v>0</v>
      </c>
      <c r="GK44">
        <v>0</v>
      </c>
      <c r="GL44">
        <f t="shared" si="46"/>
        <v>0</v>
      </c>
      <c r="GM44">
        <f t="shared" si="47"/>
        <v>2784.82</v>
      </c>
      <c r="GN44">
        <f t="shared" si="48"/>
        <v>2784.82</v>
      </c>
      <c r="GO44">
        <f t="shared" si="49"/>
        <v>0</v>
      </c>
      <c r="GP44">
        <f t="shared" si="50"/>
        <v>0</v>
      </c>
      <c r="GR44">
        <v>0</v>
      </c>
      <c r="GS44">
        <v>3</v>
      </c>
      <c r="GT44">
        <v>0</v>
      </c>
      <c r="GU44" t="s">
        <v>3</v>
      </c>
      <c r="GV44">
        <f t="shared" si="51"/>
        <v>0</v>
      </c>
      <c r="GW44">
        <v>1</v>
      </c>
      <c r="GX44">
        <f t="shared" si="52"/>
        <v>0</v>
      </c>
      <c r="HA44">
        <v>0</v>
      </c>
      <c r="HB44">
        <v>0</v>
      </c>
      <c r="HC44">
        <f t="shared" si="53"/>
        <v>0</v>
      </c>
      <c r="HE44" t="s">
        <v>3</v>
      </c>
      <c r="HF44" t="s">
        <v>3</v>
      </c>
      <c r="HM44" t="s">
        <v>3</v>
      </c>
      <c r="HN44" t="s">
        <v>132</v>
      </c>
      <c r="HO44" t="s">
        <v>133</v>
      </c>
      <c r="HP44" t="s">
        <v>130</v>
      </c>
      <c r="HQ44" t="s">
        <v>130</v>
      </c>
      <c r="IK44">
        <v>0</v>
      </c>
    </row>
    <row r="45" spans="1:245" x14ac:dyDescent="0.2">
      <c r="A45">
        <v>18</v>
      </c>
      <c r="B45">
        <v>1</v>
      </c>
      <c r="C45">
        <v>118</v>
      </c>
      <c r="E45" t="s">
        <v>138</v>
      </c>
      <c r="F45" t="s">
        <v>139</v>
      </c>
      <c r="G45" t="s">
        <v>140</v>
      </c>
      <c r="H45" t="s">
        <v>141</v>
      </c>
      <c r="I45">
        <f>I44*J45</f>
        <v>20</v>
      </c>
      <c r="J45">
        <v>80</v>
      </c>
      <c r="K45">
        <v>80</v>
      </c>
      <c r="O45">
        <f t="shared" si="14"/>
        <v>5246.28</v>
      </c>
      <c r="P45">
        <f t="shared" si="15"/>
        <v>5246.28</v>
      </c>
      <c r="Q45">
        <f t="shared" si="16"/>
        <v>0</v>
      </c>
      <c r="R45">
        <f t="shared" si="17"/>
        <v>0</v>
      </c>
      <c r="S45">
        <f t="shared" si="18"/>
        <v>0</v>
      </c>
      <c r="T45">
        <f t="shared" si="19"/>
        <v>0</v>
      </c>
      <c r="U45">
        <f t="shared" si="20"/>
        <v>0</v>
      </c>
      <c r="V45">
        <f t="shared" si="21"/>
        <v>0</v>
      </c>
      <c r="W45">
        <f t="shared" si="22"/>
        <v>0</v>
      </c>
      <c r="X45">
        <f t="shared" si="23"/>
        <v>0</v>
      </c>
      <c r="Y45">
        <f t="shared" si="24"/>
        <v>0</v>
      </c>
      <c r="AA45">
        <v>40777027</v>
      </c>
      <c r="AB45">
        <f t="shared" si="25"/>
        <v>37.42</v>
      </c>
      <c r="AC45">
        <f t="shared" si="54"/>
        <v>37.42</v>
      </c>
      <c r="AD45">
        <f t="shared" si="27"/>
        <v>0</v>
      </c>
      <c r="AE45">
        <f t="shared" si="28"/>
        <v>0</v>
      </c>
      <c r="AF45">
        <f t="shared" si="29"/>
        <v>0</v>
      </c>
      <c r="AG45">
        <f t="shared" si="30"/>
        <v>0</v>
      </c>
      <c r="AH45">
        <f t="shared" si="31"/>
        <v>0</v>
      </c>
      <c r="AI45">
        <f t="shared" si="32"/>
        <v>0</v>
      </c>
      <c r="AJ45">
        <f t="shared" si="33"/>
        <v>0</v>
      </c>
      <c r="AK45">
        <v>37.42</v>
      </c>
      <c r="AL45">
        <v>37.42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103</v>
      </c>
      <c r="AU45">
        <v>72</v>
      </c>
      <c r="AV45">
        <v>1</v>
      </c>
      <c r="AW45">
        <v>1</v>
      </c>
      <c r="AZ45">
        <v>1</v>
      </c>
      <c r="BA45">
        <v>1</v>
      </c>
      <c r="BB45">
        <v>1</v>
      </c>
      <c r="BC45">
        <v>7.01</v>
      </c>
      <c r="BD45" t="s">
        <v>3</v>
      </c>
      <c r="BE45" t="s">
        <v>3</v>
      </c>
      <c r="BF45" t="s">
        <v>3</v>
      </c>
      <c r="BG45" t="s">
        <v>3</v>
      </c>
      <c r="BH45">
        <v>3</v>
      </c>
      <c r="BI45">
        <v>1</v>
      </c>
      <c r="BJ45" t="s">
        <v>142</v>
      </c>
      <c r="BM45">
        <v>47001</v>
      </c>
      <c r="BN45">
        <v>0</v>
      </c>
      <c r="BO45" t="s">
        <v>139</v>
      </c>
      <c r="BP45">
        <v>1</v>
      </c>
      <c r="BQ45">
        <v>2</v>
      </c>
      <c r="BR45">
        <v>0</v>
      </c>
      <c r="BS45">
        <v>1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103</v>
      </c>
      <c r="CA45">
        <v>72</v>
      </c>
      <c r="CB45" t="s">
        <v>3</v>
      </c>
      <c r="CE45">
        <v>0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34"/>
        <v>5246.28</v>
      </c>
      <c r="CQ45">
        <f t="shared" si="35"/>
        <v>262.31420000000003</v>
      </c>
      <c r="CR45">
        <f t="shared" si="36"/>
        <v>0</v>
      </c>
      <c r="CS45">
        <f t="shared" si="37"/>
        <v>0</v>
      </c>
      <c r="CT45">
        <f t="shared" si="38"/>
        <v>0</v>
      </c>
      <c r="CU45">
        <f t="shared" si="39"/>
        <v>0</v>
      </c>
      <c r="CV45">
        <f t="shared" si="40"/>
        <v>0</v>
      </c>
      <c r="CW45">
        <f t="shared" si="41"/>
        <v>0</v>
      </c>
      <c r="CX45">
        <f t="shared" si="42"/>
        <v>0</v>
      </c>
      <c r="CY45">
        <f t="shared" si="43"/>
        <v>0</v>
      </c>
      <c r="CZ45">
        <f t="shared" si="44"/>
        <v>0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1009</v>
      </c>
      <c r="DV45" t="s">
        <v>141</v>
      </c>
      <c r="DW45" t="s">
        <v>141</v>
      </c>
      <c r="DX45">
        <v>1</v>
      </c>
      <c r="DZ45" t="s">
        <v>3</v>
      </c>
      <c r="EA45" t="s">
        <v>3</v>
      </c>
      <c r="EB45" t="s">
        <v>3</v>
      </c>
      <c r="EC45" t="s">
        <v>3</v>
      </c>
      <c r="EE45">
        <v>40523305</v>
      </c>
      <c r="EF45">
        <v>2</v>
      </c>
      <c r="EG45" t="s">
        <v>20</v>
      </c>
      <c r="EH45">
        <v>41</v>
      </c>
      <c r="EI45" t="s">
        <v>130</v>
      </c>
      <c r="EJ45">
        <v>1</v>
      </c>
      <c r="EK45">
        <v>47001</v>
      </c>
      <c r="EL45" t="s">
        <v>130</v>
      </c>
      <c r="EM45" t="s">
        <v>131</v>
      </c>
      <c r="EO45" t="s">
        <v>3</v>
      </c>
      <c r="EQ45">
        <v>0</v>
      </c>
      <c r="ER45">
        <v>37.42</v>
      </c>
      <c r="ES45">
        <v>37.42</v>
      </c>
      <c r="ET45">
        <v>0</v>
      </c>
      <c r="EU45">
        <v>0</v>
      </c>
      <c r="EV45">
        <v>0</v>
      </c>
      <c r="EW45">
        <v>0</v>
      </c>
      <c r="EX45">
        <v>0</v>
      </c>
      <c r="FQ45">
        <v>0</v>
      </c>
      <c r="FR45">
        <f t="shared" si="45"/>
        <v>0</v>
      </c>
      <c r="FS45">
        <v>0</v>
      </c>
      <c r="FX45">
        <v>103</v>
      </c>
      <c r="FY45">
        <v>72</v>
      </c>
      <c r="GA45" t="s">
        <v>3</v>
      </c>
      <c r="GD45">
        <v>1</v>
      </c>
      <c r="GF45">
        <v>555801457</v>
      </c>
      <c r="GG45">
        <v>2</v>
      </c>
      <c r="GH45">
        <v>1</v>
      </c>
      <c r="GI45">
        <v>2</v>
      </c>
      <c r="GJ45">
        <v>0</v>
      </c>
      <c r="GK45">
        <v>0</v>
      </c>
      <c r="GL45">
        <f t="shared" si="46"/>
        <v>0</v>
      </c>
      <c r="GM45">
        <f t="shared" si="47"/>
        <v>5246.28</v>
      </c>
      <c r="GN45">
        <f t="shared" si="48"/>
        <v>5246.28</v>
      </c>
      <c r="GO45">
        <f t="shared" si="49"/>
        <v>0</v>
      </c>
      <c r="GP45">
        <f t="shared" si="50"/>
        <v>0</v>
      </c>
      <c r="GR45">
        <v>0</v>
      </c>
      <c r="GS45">
        <v>3</v>
      </c>
      <c r="GT45">
        <v>0</v>
      </c>
      <c r="GU45" t="s">
        <v>3</v>
      </c>
      <c r="GV45">
        <f t="shared" si="51"/>
        <v>0</v>
      </c>
      <c r="GW45">
        <v>1</v>
      </c>
      <c r="GX45">
        <f t="shared" si="52"/>
        <v>0</v>
      </c>
      <c r="HA45">
        <v>0</v>
      </c>
      <c r="HB45">
        <v>0</v>
      </c>
      <c r="HC45">
        <f t="shared" si="53"/>
        <v>0</v>
      </c>
      <c r="HE45" t="s">
        <v>3</v>
      </c>
      <c r="HF45" t="s">
        <v>3</v>
      </c>
      <c r="HM45" t="s">
        <v>3</v>
      </c>
      <c r="HN45" t="s">
        <v>132</v>
      </c>
      <c r="HO45" t="s">
        <v>133</v>
      </c>
      <c r="HP45" t="s">
        <v>130</v>
      </c>
      <c r="HQ45" t="s">
        <v>130</v>
      </c>
      <c r="IK45">
        <v>0</v>
      </c>
    </row>
    <row r="47" spans="1:245" x14ac:dyDescent="0.2">
      <c r="A47" s="1">
        <v>4</v>
      </c>
      <c r="B47" s="1">
        <v>1</v>
      </c>
      <c r="C47" s="1"/>
      <c r="D47" s="1">
        <f>ROW(A62)</f>
        <v>62</v>
      </c>
      <c r="E47" s="1"/>
      <c r="F47" s="1" t="s">
        <v>143</v>
      </c>
      <c r="G47" s="1" t="s">
        <v>144</v>
      </c>
      <c r="H47" s="1" t="s">
        <v>3</v>
      </c>
      <c r="I47" s="1">
        <v>0</v>
      </c>
      <c r="J47" s="1"/>
      <c r="K47" s="1">
        <v>0</v>
      </c>
      <c r="L47" s="1"/>
      <c r="M47" s="1" t="s">
        <v>3</v>
      </c>
      <c r="N47" s="1"/>
      <c r="O47" s="1"/>
      <c r="P47" s="1"/>
      <c r="Q47" s="1"/>
      <c r="R47" s="1"/>
      <c r="S47" s="1">
        <v>0</v>
      </c>
      <c r="T47" s="1"/>
      <c r="U47" s="1" t="s">
        <v>3</v>
      </c>
      <c r="V47" s="1">
        <v>0</v>
      </c>
      <c r="W47" s="1"/>
      <c r="X47" s="1"/>
      <c r="Y47" s="1"/>
      <c r="Z47" s="1"/>
      <c r="AA47" s="1"/>
      <c r="AB47" s="1" t="s">
        <v>3</v>
      </c>
      <c r="AC47" s="1" t="s">
        <v>3</v>
      </c>
      <c r="AD47" s="1" t="s">
        <v>3</v>
      </c>
      <c r="AE47" s="1" t="s">
        <v>3</v>
      </c>
      <c r="AF47" s="1" t="s">
        <v>3</v>
      </c>
      <c r="AG47" s="1" t="s">
        <v>3</v>
      </c>
      <c r="AH47" s="1"/>
      <c r="AI47" s="1"/>
      <c r="AJ47" s="1"/>
      <c r="AK47" s="1"/>
      <c r="AL47" s="1"/>
      <c r="AM47" s="1"/>
      <c r="AN47" s="1"/>
      <c r="AO47" s="1"/>
      <c r="AP47" s="1" t="s">
        <v>3</v>
      </c>
      <c r="AQ47" s="1" t="s">
        <v>3</v>
      </c>
      <c r="AR47" s="1" t="s">
        <v>3</v>
      </c>
      <c r="AS47" s="1"/>
      <c r="AT47" s="1"/>
      <c r="AU47" s="1"/>
      <c r="AV47" s="1"/>
      <c r="AW47" s="1"/>
      <c r="AX47" s="1"/>
      <c r="AY47" s="1"/>
      <c r="AZ47" s="1" t="s">
        <v>3</v>
      </c>
      <c r="BA47" s="1"/>
      <c r="BB47" s="1" t="s">
        <v>3</v>
      </c>
      <c r="BC47" s="1" t="s">
        <v>3</v>
      </c>
      <c r="BD47" s="1" t="s">
        <v>3</v>
      </c>
      <c r="BE47" s="1" t="s">
        <v>3</v>
      </c>
      <c r="BF47" s="1" t="s">
        <v>3</v>
      </c>
      <c r="BG47" s="1" t="s">
        <v>3</v>
      </c>
      <c r="BH47" s="1" t="s">
        <v>3</v>
      </c>
      <c r="BI47" s="1" t="s">
        <v>3</v>
      </c>
      <c r="BJ47" s="1" t="s">
        <v>3</v>
      </c>
      <c r="BK47" s="1" t="s">
        <v>3</v>
      </c>
      <c r="BL47" s="1" t="s">
        <v>3</v>
      </c>
      <c r="BM47" s="1" t="s">
        <v>3</v>
      </c>
      <c r="BN47" s="1" t="s">
        <v>3</v>
      </c>
      <c r="BO47" s="1" t="s">
        <v>3</v>
      </c>
      <c r="BP47" s="1" t="s">
        <v>3</v>
      </c>
      <c r="BQ47" s="1"/>
      <c r="BR47" s="1"/>
      <c r="BS47" s="1"/>
      <c r="BT47" s="1"/>
      <c r="BU47" s="1"/>
      <c r="BV47" s="1"/>
      <c r="BW47" s="1"/>
      <c r="BX47" s="1">
        <v>0</v>
      </c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>
        <v>0</v>
      </c>
    </row>
    <row r="49" spans="1:245" x14ac:dyDescent="0.2">
      <c r="A49" s="2">
        <v>52</v>
      </c>
      <c r="B49" s="2">
        <f t="shared" ref="B49:G49" si="55">B62</f>
        <v>1</v>
      </c>
      <c r="C49" s="2">
        <f t="shared" si="55"/>
        <v>4</v>
      </c>
      <c r="D49" s="2">
        <f t="shared" si="55"/>
        <v>47</v>
      </c>
      <c r="E49" s="2">
        <f t="shared" si="55"/>
        <v>0</v>
      </c>
      <c r="F49" s="2" t="str">
        <f t="shared" si="55"/>
        <v>Новый раздел</v>
      </c>
      <c r="G49" s="2" t="str">
        <f t="shared" si="55"/>
        <v>Материалы</v>
      </c>
      <c r="H49" s="2"/>
      <c r="I49" s="2"/>
      <c r="J49" s="2"/>
      <c r="K49" s="2"/>
      <c r="L49" s="2"/>
      <c r="M49" s="2"/>
      <c r="N49" s="2"/>
      <c r="O49" s="2">
        <f t="shared" ref="O49:AT49" si="56">O62</f>
        <v>439824.36</v>
      </c>
      <c r="P49" s="2">
        <f t="shared" si="56"/>
        <v>439824.36</v>
      </c>
      <c r="Q49" s="2">
        <f t="shared" si="56"/>
        <v>0</v>
      </c>
      <c r="R49" s="2">
        <f t="shared" si="56"/>
        <v>0</v>
      </c>
      <c r="S49" s="2">
        <f t="shared" si="56"/>
        <v>0</v>
      </c>
      <c r="T49" s="2">
        <f t="shared" si="56"/>
        <v>0</v>
      </c>
      <c r="U49" s="2">
        <f t="shared" si="56"/>
        <v>0</v>
      </c>
      <c r="V49" s="2">
        <f t="shared" si="56"/>
        <v>0</v>
      </c>
      <c r="W49" s="2">
        <f t="shared" si="56"/>
        <v>0</v>
      </c>
      <c r="X49" s="2">
        <f t="shared" si="56"/>
        <v>0</v>
      </c>
      <c r="Y49" s="2">
        <f t="shared" si="56"/>
        <v>0</v>
      </c>
      <c r="Z49" s="2">
        <f t="shared" si="56"/>
        <v>0</v>
      </c>
      <c r="AA49" s="2">
        <f t="shared" si="56"/>
        <v>0</v>
      </c>
      <c r="AB49" s="2">
        <f t="shared" si="56"/>
        <v>439824.36</v>
      </c>
      <c r="AC49" s="2">
        <f t="shared" si="56"/>
        <v>439824.36</v>
      </c>
      <c r="AD49" s="2">
        <f t="shared" si="56"/>
        <v>0</v>
      </c>
      <c r="AE49" s="2">
        <f t="shared" si="56"/>
        <v>0</v>
      </c>
      <c r="AF49" s="2">
        <f t="shared" si="56"/>
        <v>0</v>
      </c>
      <c r="AG49" s="2">
        <f t="shared" si="56"/>
        <v>0</v>
      </c>
      <c r="AH49" s="2">
        <f t="shared" si="56"/>
        <v>0</v>
      </c>
      <c r="AI49" s="2">
        <f t="shared" si="56"/>
        <v>0</v>
      </c>
      <c r="AJ49" s="2">
        <f t="shared" si="56"/>
        <v>0</v>
      </c>
      <c r="AK49" s="2">
        <f t="shared" si="56"/>
        <v>0</v>
      </c>
      <c r="AL49" s="2">
        <f t="shared" si="56"/>
        <v>0</v>
      </c>
      <c r="AM49" s="2">
        <f t="shared" si="56"/>
        <v>0</v>
      </c>
      <c r="AN49" s="2">
        <f t="shared" si="56"/>
        <v>0</v>
      </c>
      <c r="AO49" s="2">
        <f t="shared" si="56"/>
        <v>0</v>
      </c>
      <c r="AP49" s="2">
        <f t="shared" si="56"/>
        <v>0</v>
      </c>
      <c r="AQ49" s="2">
        <f t="shared" si="56"/>
        <v>0</v>
      </c>
      <c r="AR49" s="2">
        <f t="shared" si="56"/>
        <v>439824.36</v>
      </c>
      <c r="AS49" s="2">
        <f t="shared" si="56"/>
        <v>439824.36</v>
      </c>
      <c r="AT49" s="2">
        <f t="shared" si="56"/>
        <v>0</v>
      </c>
      <c r="AU49" s="2">
        <f t="shared" ref="AU49:BZ49" si="57">AU62</f>
        <v>0</v>
      </c>
      <c r="AV49" s="2">
        <f t="shared" si="57"/>
        <v>439824.36</v>
      </c>
      <c r="AW49" s="2">
        <f t="shared" si="57"/>
        <v>439824.36</v>
      </c>
      <c r="AX49" s="2">
        <f t="shared" si="57"/>
        <v>0</v>
      </c>
      <c r="AY49" s="2">
        <f t="shared" si="57"/>
        <v>439824.36</v>
      </c>
      <c r="AZ49" s="2">
        <f t="shared" si="57"/>
        <v>0</v>
      </c>
      <c r="BA49" s="2">
        <f t="shared" si="57"/>
        <v>0</v>
      </c>
      <c r="BB49" s="2">
        <f t="shared" si="57"/>
        <v>0</v>
      </c>
      <c r="BC49" s="2">
        <f t="shared" si="57"/>
        <v>0</v>
      </c>
      <c r="BD49" s="2">
        <f t="shared" si="57"/>
        <v>0</v>
      </c>
      <c r="BE49" s="2">
        <f t="shared" si="57"/>
        <v>0</v>
      </c>
      <c r="BF49" s="2">
        <f t="shared" si="57"/>
        <v>0</v>
      </c>
      <c r="BG49" s="2">
        <f t="shared" si="57"/>
        <v>0</v>
      </c>
      <c r="BH49" s="2">
        <f t="shared" si="57"/>
        <v>0</v>
      </c>
      <c r="BI49" s="2">
        <f t="shared" si="57"/>
        <v>0</v>
      </c>
      <c r="BJ49" s="2">
        <f t="shared" si="57"/>
        <v>0</v>
      </c>
      <c r="BK49" s="2">
        <f t="shared" si="57"/>
        <v>0</v>
      </c>
      <c r="BL49" s="2">
        <f t="shared" si="57"/>
        <v>0</v>
      </c>
      <c r="BM49" s="2">
        <f t="shared" si="57"/>
        <v>0</v>
      </c>
      <c r="BN49" s="2">
        <f t="shared" si="57"/>
        <v>0</v>
      </c>
      <c r="BO49" s="2">
        <f t="shared" si="57"/>
        <v>0</v>
      </c>
      <c r="BP49" s="2">
        <f t="shared" si="57"/>
        <v>0</v>
      </c>
      <c r="BQ49" s="2">
        <f t="shared" si="57"/>
        <v>0</v>
      </c>
      <c r="BR49" s="2">
        <f t="shared" si="57"/>
        <v>0</v>
      </c>
      <c r="BS49" s="2">
        <f t="shared" si="57"/>
        <v>0</v>
      </c>
      <c r="BT49" s="2">
        <f t="shared" si="57"/>
        <v>0</v>
      </c>
      <c r="BU49" s="2">
        <f t="shared" si="57"/>
        <v>0</v>
      </c>
      <c r="BV49" s="2">
        <f t="shared" si="57"/>
        <v>0</v>
      </c>
      <c r="BW49" s="2">
        <f t="shared" si="57"/>
        <v>0</v>
      </c>
      <c r="BX49" s="2">
        <f t="shared" si="57"/>
        <v>0</v>
      </c>
      <c r="BY49" s="2">
        <f t="shared" si="57"/>
        <v>0</v>
      </c>
      <c r="BZ49" s="2">
        <f t="shared" si="57"/>
        <v>0</v>
      </c>
      <c r="CA49" s="2">
        <f t="shared" ref="CA49:DF49" si="58">CA62</f>
        <v>439824.36</v>
      </c>
      <c r="CB49" s="2">
        <f t="shared" si="58"/>
        <v>439824.36</v>
      </c>
      <c r="CC49" s="2">
        <f t="shared" si="58"/>
        <v>0</v>
      </c>
      <c r="CD49" s="2">
        <f t="shared" si="58"/>
        <v>0</v>
      </c>
      <c r="CE49" s="2">
        <f t="shared" si="58"/>
        <v>439824.36</v>
      </c>
      <c r="CF49" s="2">
        <f t="shared" si="58"/>
        <v>439824.36</v>
      </c>
      <c r="CG49" s="2">
        <f t="shared" si="58"/>
        <v>0</v>
      </c>
      <c r="CH49" s="2">
        <f t="shared" si="58"/>
        <v>439824.36</v>
      </c>
      <c r="CI49" s="2">
        <f t="shared" si="58"/>
        <v>0</v>
      </c>
      <c r="CJ49" s="2">
        <f t="shared" si="58"/>
        <v>0</v>
      </c>
      <c r="CK49" s="2">
        <f t="shared" si="58"/>
        <v>0</v>
      </c>
      <c r="CL49" s="2">
        <f t="shared" si="58"/>
        <v>0</v>
      </c>
      <c r="CM49" s="2">
        <f t="shared" si="58"/>
        <v>0</v>
      </c>
      <c r="CN49" s="2">
        <f t="shared" si="58"/>
        <v>0</v>
      </c>
      <c r="CO49" s="2">
        <f t="shared" si="58"/>
        <v>0</v>
      </c>
      <c r="CP49" s="2">
        <f t="shared" si="58"/>
        <v>0</v>
      </c>
      <c r="CQ49" s="2">
        <f t="shared" si="58"/>
        <v>0</v>
      </c>
      <c r="CR49" s="2">
        <f t="shared" si="58"/>
        <v>0</v>
      </c>
      <c r="CS49" s="2">
        <f t="shared" si="58"/>
        <v>0</v>
      </c>
      <c r="CT49" s="2">
        <f t="shared" si="58"/>
        <v>0</v>
      </c>
      <c r="CU49" s="2">
        <f t="shared" si="58"/>
        <v>0</v>
      </c>
      <c r="CV49" s="2">
        <f t="shared" si="58"/>
        <v>0</v>
      </c>
      <c r="CW49" s="2">
        <f t="shared" si="58"/>
        <v>0</v>
      </c>
      <c r="CX49" s="2">
        <f t="shared" si="58"/>
        <v>0</v>
      </c>
      <c r="CY49" s="2">
        <f t="shared" si="58"/>
        <v>0</v>
      </c>
      <c r="CZ49" s="2">
        <f t="shared" si="58"/>
        <v>0</v>
      </c>
      <c r="DA49" s="2">
        <f t="shared" si="58"/>
        <v>0</v>
      </c>
      <c r="DB49" s="2">
        <f t="shared" si="58"/>
        <v>0</v>
      </c>
      <c r="DC49" s="2">
        <f t="shared" si="58"/>
        <v>0</v>
      </c>
      <c r="DD49" s="2">
        <f t="shared" si="58"/>
        <v>0</v>
      </c>
      <c r="DE49" s="2">
        <f t="shared" si="58"/>
        <v>0</v>
      </c>
      <c r="DF49" s="2">
        <f t="shared" si="58"/>
        <v>0</v>
      </c>
      <c r="DG49" s="3">
        <f t="shared" ref="DG49:EL49" si="59">DG62</f>
        <v>0</v>
      </c>
      <c r="DH49" s="3">
        <f t="shared" si="59"/>
        <v>0</v>
      </c>
      <c r="DI49" s="3">
        <f t="shared" si="59"/>
        <v>0</v>
      </c>
      <c r="DJ49" s="3">
        <f t="shared" si="59"/>
        <v>0</v>
      </c>
      <c r="DK49" s="3">
        <f t="shared" si="59"/>
        <v>0</v>
      </c>
      <c r="DL49" s="3">
        <f t="shared" si="59"/>
        <v>0</v>
      </c>
      <c r="DM49" s="3">
        <f t="shared" si="59"/>
        <v>0</v>
      </c>
      <c r="DN49" s="3">
        <f t="shared" si="59"/>
        <v>0</v>
      </c>
      <c r="DO49" s="3">
        <f t="shared" si="59"/>
        <v>0</v>
      </c>
      <c r="DP49" s="3">
        <f t="shared" si="59"/>
        <v>0</v>
      </c>
      <c r="DQ49" s="3">
        <f t="shared" si="59"/>
        <v>0</v>
      </c>
      <c r="DR49" s="3">
        <f t="shared" si="59"/>
        <v>0</v>
      </c>
      <c r="DS49" s="3">
        <f t="shared" si="59"/>
        <v>0</v>
      </c>
      <c r="DT49" s="3">
        <f t="shared" si="59"/>
        <v>0</v>
      </c>
      <c r="DU49" s="3">
        <f t="shared" si="59"/>
        <v>0</v>
      </c>
      <c r="DV49" s="3">
        <f t="shared" si="59"/>
        <v>0</v>
      </c>
      <c r="DW49" s="3">
        <f t="shared" si="59"/>
        <v>0</v>
      </c>
      <c r="DX49" s="3">
        <f t="shared" si="59"/>
        <v>0</v>
      </c>
      <c r="DY49" s="3">
        <f t="shared" si="59"/>
        <v>0</v>
      </c>
      <c r="DZ49" s="3">
        <f t="shared" si="59"/>
        <v>0</v>
      </c>
      <c r="EA49" s="3">
        <f t="shared" si="59"/>
        <v>0</v>
      </c>
      <c r="EB49" s="3">
        <f t="shared" si="59"/>
        <v>0</v>
      </c>
      <c r="EC49" s="3">
        <f t="shared" si="59"/>
        <v>0</v>
      </c>
      <c r="ED49" s="3">
        <f t="shared" si="59"/>
        <v>0</v>
      </c>
      <c r="EE49" s="3">
        <f t="shared" si="59"/>
        <v>0</v>
      </c>
      <c r="EF49" s="3">
        <f t="shared" si="59"/>
        <v>0</v>
      </c>
      <c r="EG49" s="3">
        <f t="shared" si="59"/>
        <v>0</v>
      </c>
      <c r="EH49" s="3">
        <f t="shared" si="59"/>
        <v>0</v>
      </c>
      <c r="EI49" s="3">
        <f t="shared" si="59"/>
        <v>0</v>
      </c>
      <c r="EJ49" s="3">
        <f t="shared" si="59"/>
        <v>0</v>
      </c>
      <c r="EK49" s="3">
        <f t="shared" si="59"/>
        <v>0</v>
      </c>
      <c r="EL49" s="3">
        <f t="shared" si="59"/>
        <v>0</v>
      </c>
      <c r="EM49" s="3">
        <f t="shared" ref="EM49:FR49" si="60">EM62</f>
        <v>0</v>
      </c>
      <c r="EN49" s="3">
        <f t="shared" si="60"/>
        <v>0</v>
      </c>
      <c r="EO49" s="3">
        <f t="shared" si="60"/>
        <v>0</v>
      </c>
      <c r="EP49" s="3">
        <f t="shared" si="60"/>
        <v>0</v>
      </c>
      <c r="EQ49" s="3">
        <f t="shared" si="60"/>
        <v>0</v>
      </c>
      <c r="ER49" s="3">
        <f t="shared" si="60"/>
        <v>0</v>
      </c>
      <c r="ES49" s="3">
        <f t="shared" si="60"/>
        <v>0</v>
      </c>
      <c r="ET49" s="3">
        <f t="shared" si="60"/>
        <v>0</v>
      </c>
      <c r="EU49" s="3">
        <f t="shared" si="60"/>
        <v>0</v>
      </c>
      <c r="EV49" s="3">
        <f t="shared" si="60"/>
        <v>0</v>
      </c>
      <c r="EW49" s="3">
        <f t="shared" si="60"/>
        <v>0</v>
      </c>
      <c r="EX49" s="3">
        <f t="shared" si="60"/>
        <v>0</v>
      </c>
      <c r="EY49" s="3">
        <f t="shared" si="60"/>
        <v>0</v>
      </c>
      <c r="EZ49" s="3">
        <f t="shared" si="60"/>
        <v>0</v>
      </c>
      <c r="FA49" s="3">
        <f t="shared" si="60"/>
        <v>0</v>
      </c>
      <c r="FB49" s="3">
        <f t="shared" si="60"/>
        <v>0</v>
      </c>
      <c r="FC49" s="3">
        <f t="shared" si="60"/>
        <v>0</v>
      </c>
      <c r="FD49" s="3">
        <f t="shared" si="60"/>
        <v>0</v>
      </c>
      <c r="FE49" s="3">
        <f t="shared" si="60"/>
        <v>0</v>
      </c>
      <c r="FF49" s="3">
        <f t="shared" si="60"/>
        <v>0</v>
      </c>
      <c r="FG49" s="3">
        <f t="shared" si="60"/>
        <v>0</v>
      </c>
      <c r="FH49" s="3">
        <f t="shared" si="60"/>
        <v>0</v>
      </c>
      <c r="FI49" s="3">
        <f t="shared" si="60"/>
        <v>0</v>
      </c>
      <c r="FJ49" s="3">
        <f t="shared" si="60"/>
        <v>0</v>
      </c>
      <c r="FK49" s="3">
        <f t="shared" si="60"/>
        <v>0</v>
      </c>
      <c r="FL49" s="3">
        <f t="shared" si="60"/>
        <v>0</v>
      </c>
      <c r="FM49" s="3">
        <f t="shared" si="60"/>
        <v>0</v>
      </c>
      <c r="FN49" s="3">
        <f t="shared" si="60"/>
        <v>0</v>
      </c>
      <c r="FO49" s="3">
        <f t="shared" si="60"/>
        <v>0</v>
      </c>
      <c r="FP49" s="3">
        <f t="shared" si="60"/>
        <v>0</v>
      </c>
      <c r="FQ49" s="3">
        <f t="shared" si="60"/>
        <v>0</v>
      </c>
      <c r="FR49" s="3">
        <f t="shared" si="60"/>
        <v>0</v>
      </c>
      <c r="FS49" s="3">
        <f t="shared" ref="FS49:GX49" si="61">FS62</f>
        <v>0</v>
      </c>
      <c r="FT49" s="3">
        <f t="shared" si="61"/>
        <v>0</v>
      </c>
      <c r="FU49" s="3">
        <f t="shared" si="61"/>
        <v>0</v>
      </c>
      <c r="FV49" s="3">
        <f t="shared" si="61"/>
        <v>0</v>
      </c>
      <c r="FW49" s="3">
        <f t="shared" si="61"/>
        <v>0</v>
      </c>
      <c r="FX49" s="3">
        <f t="shared" si="61"/>
        <v>0</v>
      </c>
      <c r="FY49" s="3">
        <f t="shared" si="61"/>
        <v>0</v>
      </c>
      <c r="FZ49" s="3">
        <f t="shared" si="61"/>
        <v>0</v>
      </c>
      <c r="GA49" s="3">
        <f t="shared" si="61"/>
        <v>0</v>
      </c>
      <c r="GB49" s="3">
        <f t="shared" si="61"/>
        <v>0</v>
      </c>
      <c r="GC49" s="3">
        <f t="shared" si="61"/>
        <v>0</v>
      </c>
      <c r="GD49" s="3">
        <f t="shared" si="61"/>
        <v>0</v>
      </c>
      <c r="GE49" s="3">
        <f t="shared" si="61"/>
        <v>0</v>
      </c>
      <c r="GF49" s="3">
        <f t="shared" si="61"/>
        <v>0</v>
      </c>
      <c r="GG49" s="3">
        <f t="shared" si="61"/>
        <v>0</v>
      </c>
      <c r="GH49" s="3">
        <f t="shared" si="61"/>
        <v>0</v>
      </c>
      <c r="GI49" s="3">
        <f t="shared" si="61"/>
        <v>0</v>
      </c>
      <c r="GJ49" s="3">
        <f t="shared" si="61"/>
        <v>0</v>
      </c>
      <c r="GK49" s="3">
        <f t="shared" si="61"/>
        <v>0</v>
      </c>
      <c r="GL49" s="3">
        <f t="shared" si="61"/>
        <v>0</v>
      </c>
      <c r="GM49" s="3">
        <f t="shared" si="61"/>
        <v>0</v>
      </c>
      <c r="GN49" s="3">
        <f t="shared" si="61"/>
        <v>0</v>
      </c>
      <c r="GO49" s="3">
        <f t="shared" si="61"/>
        <v>0</v>
      </c>
      <c r="GP49" s="3">
        <f t="shared" si="61"/>
        <v>0</v>
      </c>
      <c r="GQ49" s="3">
        <f t="shared" si="61"/>
        <v>0</v>
      </c>
      <c r="GR49" s="3">
        <f t="shared" si="61"/>
        <v>0</v>
      </c>
      <c r="GS49" s="3">
        <f t="shared" si="61"/>
        <v>0</v>
      </c>
      <c r="GT49" s="3">
        <f t="shared" si="61"/>
        <v>0</v>
      </c>
      <c r="GU49" s="3">
        <f t="shared" si="61"/>
        <v>0</v>
      </c>
      <c r="GV49" s="3">
        <f t="shared" si="61"/>
        <v>0</v>
      </c>
      <c r="GW49" s="3">
        <f t="shared" si="61"/>
        <v>0</v>
      </c>
      <c r="GX49" s="3">
        <f t="shared" si="61"/>
        <v>0</v>
      </c>
    </row>
    <row r="51" spans="1:245" x14ac:dyDescent="0.2">
      <c r="A51">
        <v>17</v>
      </c>
      <c r="B51">
        <v>1</v>
      </c>
      <c r="E51" t="s">
        <v>145</v>
      </c>
      <c r="F51" t="s">
        <v>146</v>
      </c>
      <c r="G51" t="s">
        <v>147</v>
      </c>
      <c r="H51" t="s">
        <v>114</v>
      </c>
      <c r="I51">
        <v>231</v>
      </c>
      <c r="J51">
        <v>0</v>
      </c>
      <c r="K51">
        <v>231</v>
      </c>
      <c r="O51">
        <f t="shared" ref="O51:O60" si="62">ROUND(CP51,2)</f>
        <v>333561.69</v>
      </c>
      <c r="P51">
        <f t="shared" ref="P51:P60" si="63">ROUND(CQ51*I51,2)</f>
        <v>333561.69</v>
      </c>
      <c r="Q51">
        <f t="shared" ref="Q51:Q60" si="64">ROUND(CR51*I51,2)</f>
        <v>0</v>
      </c>
      <c r="R51">
        <f t="shared" ref="R51:R60" si="65">ROUND(CS51*I51,2)</f>
        <v>0</v>
      </c>
      <c r="S51">
        <f t="shared" ref="S51:S60" si="66">ROUND(CT51*I51,2)</f>
        <v>0</v>
      </c>
      <c r="T51">
        <f t="shared" ref="T51:T60" si="67">ROUND(CU51*I51,2)</f>
        <v>0</v>
      </c>
      <c r="U51">
        <f t="shared" ref="U51:U60" si="68">CV51*I51</f>
        <v>0</v>
      </c>
      <c r="V51">
        <f t="shared" ref="V51:V60" si="69">CW51*I51</f>
        <v>0</v>
      </c>
      <c r="W51">
        <f t="shared" ref="W51:W60" si="70">ROUND(CX51*I51,2)</f>
        <v>0</v>
      </c>
      <c r="X51">
        <f t="shared" ref="X51:X60" si="71">ROUND(CY51,2)</f>
        <v>0</v>
      </c>
      <c r="Y51">
        <f t="shared" ref="Y51:Y60" si="72">ROUND(CZ51,2)</f>
        <v>0</v>
      </c>
      <c r="AA51">
        <v>40777027</v>
      </c>
      <c r="AB51">
        <f t="shared" ref="AB51:AB60" si="73">ROUND((AC51+AD51+AF51),2)</f>
        <v>1443.99</v>
      </c>
      <c r="AC51">
        <f t="shared" ref="AC51:AC60" si="74">ROUND((ES51),2)</f>
        <v>1443.99</v>
      </c>
      <c r="AD51">
        <f t="shared" ref="AD51:AD60" si="75">ROUND((((ET51)-(EU51))+AE51),2)</f>
        <v>0</v>
      </c>
      <c r="AE51">
        <f t="shared" ref="AE51:AE60" si="76">ROUND((EU51),2)</f>
        <v>0</v>
      </c>
      <c r="AF51">
        <f t="shared" ref="AF51:AF60" si="77">ROUND((EV51),2)</f>
        <v>0</v>
      </c>
      <c r="AG51">
        <f t="shared" ref="AG51:AG60" si="78">ROUND((AP51),2)</f>
        <v>0</v>
      </c>
      <c r="AH51">
        <f t="shared" ref="AH51:AH60" si="79">(EW51)</f>
        <v>0</v>
      </c>
      <c r="AI51">
        <f t="shared" ref="AI51:AI60" si="80">(EX51)</f>
        <v>0</v>
      </c>
      <c r="AJ51">
        <f t="shared" ref="AJ51:AJ60" si="81">(AS51)</f>
        <v>0</v>
      </c>
      <c r="AK51">
        <v>1443.99</v>
      </c>
      <c r="AL51">
        <v>1443.99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1</v>
      </c>
      <c r="AW51">
        <v>1</v>
      </c>
      <c r="AZ51">
        <v>1</v>
      </c>
      <c r="BA51">
        <v>1</v>
      </c>
      <c r="BB51">
        <v>1</v>
      </c>
      <c r="BC51">
        <v>1</v>
      </c>
      <c r="BD51" t="s">
        <v>3</v>
      </c>
      <c r="BE51" t="s">
        <v>3</v>
      </c>
      <c r="BF51" t="s">
        <v>3</v>
      </c>
      <c r="BG51" t="s">
        <v>3</v>
      </c>
      <c r="BH51">
        <v>3</v>
      </c>
      <c r="BI51">
        <v>1</v>
      </c>
      <c r="BJ51" t="s">
        <v>3</v>
      </c>
      <c r="BM51">
        <v>1100</v>
      </c>
      <c r="BN51">
        <v>0</v>
      </c>
      <c r="BO51" t="s">
        <v>3</v>
      </c>
      <c r="BP51">
        <v>0</v>
      </c>
      <c r="BQ51">
        <v>8</v>
      </c>
      <c r="BR51">
        <v>0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0</v>
      </c>
      <c r="CA51">
        <v>0</v>
      </c>
      <c r="CB51" t="s">
        <v>3</v>
      </c>
      <c r="CE51">
        <v>0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ref="CP51:CP60" si="82">(P51+Q51+S51)</f>
        <v>333561.69</v>
      </c>
      <c r="CQ51">
        <f t="shared" ref="CQ51:CQ60" si="83">AC51*BC51</f>
        <v>1443.99</v>
      </c>
      <c r="CR51">
        <f t="shared" ref="CR51:CR60" si="84">(((ET51)*BB51-(EU51)*BS51)+AE51*BS51)</f>
        <v>0</v>
      </c>
      <c r="CS51">
        <f t="shared" ref="CS51:CS60" si="85">AE51*BS51</f>
        <v>0</v>
      </c>
      <c r="CT51">
        <f t="shared" ref="CT51:CT60" si="86">AF51*BA51</f>
        <v>0</v>
      </c>
      <c r="CU51">
        <f t="shared" ref="CU51:CU60" si="87">AG51</f>
        <v>0</v>
      </c>
      <c r="CV51">
        <f t="shared" ref="CV51:CV60" si="88">AH51</f>
        <v>0</v>
      </c>
      <c r="CW51">
        <f t="shared" ref="CW51:CW60" si="89">AI51</f>
        <v>0</v>
      </c>
      <c r="CX51">
        <f t="shared" ref="CX51:CX60" si="90">AJ51</f>
        <v>0</v>
      </c>
      <c r="CY51">
        <f t="shared" ref="CY51:CY60" si="91">(((S51+R51)*AT51)/100)</f>
        <v>0</v>
      </c>
      <c r="CZ51">
        <f t="shared" ref="CZ51:CZ60" si="92">(((S51+R51)*AU51)/100)</f>
        <v>0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1003</v>
      </c>
      <c r="DV51" t="s">
        <v>114</v>
      </c>
      <c r="DW51" t="s">
        <v>114</v>
      </c>
      <c r="DX51">
        <v>1</v>
      </c>
      <c r="DZ51" t="s">
        <v>3</v>
      </c>
      <c r="EA51" t="s">
        <v>3</v>
      </c>
      <c r="EB51" t="s">
        <v>3</v>
      </c>
      <c r="EC51" t="s">
        <v>3</v>
      </c>
      <c r="EE51">
        <v>40523445</v>
      </c>
      <c r="EF51">
        <v>8</v>
      </c>
      <c r="EG51" t="s">
        <v>148</v>
      </c>
      <c r="EH51">
        <v>0</v>
      </c>
      <c r="EI51" t="s">
        <v>3</v>
      </c>
      <c r="EJ51">
        <v>1</v>
      </c>
      <c r="EK51">
        <v>1100</v>
      </c>
      <c r="EL51" t="s">
        <v>149</v>
      </c>
      <c r="EM51" t="s">
        <v>150</v>
      </c>
      <c r="EO51" t="s">
        <v>3</v>
      </c>
      <c r="EQ51">
        <v>0</v>
      </c>
      <c r="ER51">
        <v>1443.99</v>
      </c>
      <c r="ES51">
        <v>1443.99</v>
      </c>
      <c r="ET51">
        <v>0</v>
      </c>
      <c r="EU51">
        <v>0</v>
      </c>
      <c r="EV51">
        <v>0</v>
      </c>
      <c r="EW51">
        <v>0</v>
      </c>
      <c r="EX51">
        <v>0</v>
      </c>
      <c r="EY51">
        <v>0</v>
      </c>
      <c r="EZ51">
        <v>5</v>
      </c>
      <c r="FC51">
        <v>1</v>
      </c>
      <c r="FD51">
        <v>18</v>
      </c>
      <c r="FF51">
        <v>1732.79</v>
      </c>
      <c r="FQ51">
        <v>0</v>
      </c>
      <c r="FR51">
        <f t="shared" ref="FR51:FR60" si="93">ROUND(IF(BI51=3,GM51,0),2)</f>
        <v>0</v>
      </c>
      <c r="FS51">
        <v>0</v>
      </c>
      <c r="FX51">
        <v>0</v>
      </c>
      <c r="FY51">
        <v>0</v>
      </c>
      <c r="GA51" t="s">
        <v>151</v>
      </c>
      <c r="GD51">
        <v>1</v>
      </c>
      <c r="GF51">
        <v>-101328582</v>
      </c>
      <c r="GG51">
        <v>2</v>
      </c>
      <c r="GH51">
        <v>3</v>
      </c>
      <c r="GI51">
        <v>-2</v>
      </c>
      <c r="GJ51">
        <v>0</v>
      </c>
      <c r="GK51">
        <v>0</v>
      </c>
      <c r="GL51">
        <f t="shared" ref="GL51:GL60" si="94">ROUND(IF(AND(BH51=3,BI51=3,FS51&lt;&gt;0),P51,0),2)</f>
        <v>0</v>
      </c>
      <c r="GM51">
        <f t="shared" ref="GM51:GM60" si="95">ROUND(O51+X51+Y51,2)+GX51</f>
        <v>333561.69</v>
      </c>
      <c r="GN51">
        <f t="shared" ref="GN51:GN60" si="96">IF(OR(BI51=0,BI51=1),GM51,0)</f>
        <v>333561.69</v>
      </c>
      <c r="GO51">
        <f t="shared" ref="GO51:GO60" si="97">IF(BI51=2,GM51,0)</f>
        <v>0</v>
      </c>
      <c r="GP51">
        <f t="shared" ref="GP51:GP60" si="98">IF(BI51=4,GM51+GX51,0)</f>
        <v>0</v>
      </c>
      <c r="GR51">
        <v>1</v>
      </c>
      <c r="GS51">
        <v>1</v>
      </c>
      <c r="GT51">
        <v>0</v>
      </c>
      <c r="GU51" t="s">
        <v>3</v>
      </c>
      <c r="GV51">
        <f t="shared" ref="GV51:GV60" si="99">ROUND((GT51),2)</f>
        <v>0</v>
      </c>
      <c r="GW51">
        <v>1</v>
      </c>
      <c r="GX51">
        <f t="shared" ref="GX51:GX60" si="100">ROUND(HC51*I51,2)</f>
        <v>0</v>
      </c>
      <c r="HA51">
        <v>0</v>
      </c>
      <c r="HB51">
        <v>0</v>
      </c>
      <c r="HC51">
        <f t="shared" ref="HC51:HC60" si="101">GV51*GW51</f>
        <v>0</v>
      </c>
      <c r="HE51" t="s">
        <v>152</v>
      </c>
      <c r="HF51" t="s">
        <v>152</v>
      </c>
      <c r="HM51" t="s">
        <v>3</v>
      </c>
      <c r="HN51" t="s">
        <v>3</v>
      </c>
      <c r="HO51" t="s">
        <v>3</v>
      </c>
      <c r="HP51" t="s">
        <v>3</v>
      </c>
      <c r="HQ51" t="s">
        <v>3</v>
      </c>
      <c r="IK51">
        <v>0</v>
      </c>
    </row>
    <row r="52" spans="1:245" x14ac:dyDescent="0.2">
      <c r="A52">
        <v>17</v>
      </c>
      <c r="B52">
        <v>1</v>
      </c>
      <c r="E52" t="s">
        <v>153</v>
      </c>
      <c r="F52" t="s">
        <v>146</v>
      </c>
      <c r="G52" t="s">
        <v>154</v>
      </c>
      <c r="H52" t="s">
        <v>155</v>
      </c>
      <c r="I52">
        <v>4</v>
      </c>
      <c r="J52">
        <v>0</v>
      </c>
      <c r="K52">
        <v>4</v>
      </c>
      <c r="O52">
        <f t="shared" si="62"/>
        <v>8045.84</v>
      </c>
      <c r="P52">
        <f t="shared" si="63"/>
        <v>8045.84</v>
      </c>
      <c r="Q52">
        <f t="shared" si="64"/>
        <v>0</v>
      </c>
      <c r="R52">
        <f t="shared" si="65"/>
        <v>0</v>
      </c>
      <c r="S52">
        <f t="shared" si="66"/>
        <v>0</v>
      </c>
      <c r="T52">
        <f t="shared" si="67"/>
        <v>0</v>
      </c>
      <c r="U52">
        <f t="shared" si="68"/>
        <v>0</v>
      </c>
      <c r="V52">
        <f t="shared" si="69"/>
        <v>0</v>
      </c>
      <c r="W52">
        <f t="shared" si="70"/>
        <v>0</v>
      </c>
      <c r="X52">
        <f t="shared" si="71"/>
        <v>0</v>
      </c>
      <c r="Y52">
        <f t="shared" si="72"/>
        <v>0</v>
      </c>
      <c r="AA52">
        <v>40777027</v>
      </c>
      <c r="AB52">
        <f t="shared" si="73"/>
        <v>2011.46</v>
      </c>
      <c r="AC52">
        <f t="shared" si="74"/>
        <v>2011.46</v>
      </c>
      <c r="AD52">
        <f t="shared" si="75"/>
        <v>0</v>
      </c>
      <c r="AE52">
        <f t="shared" si="76"/>
        <v>0</v>
      </c>
      <c r="AF52">
        <f t="shared" si="77"/>
        <v>0</v>
      </c>
      <c r="AG52">
        <f t="shared" si="78"/>
        <v>0</v>
      </c>
      <c r="AH52">
        <f t="shared" si="79"/>
        <v>0</v>
      </c>
      <c r="AI52">
        <f t="shared" si="80"/>
        <v>0</v>
      </c>
      <c r="AJ52">
        <f t="shared" si="81"/>
        <v>0</v>
      </c>
      <c r="AK52">
        <v>2011.46</v>
      </c>
      <c r="AL52">
        <v>2011.46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1</v>
      </c>
      <c r="AW52">
        <v>1</v>
      </c>
      <c r="AZ52">
        <v>1</v>
      </c>
      <c r="BA52">
        <v>1</v>
      </c>
      <c r="BB52">
        <v>1</v>
      </c>
      <c r="BC52">
        <v>1</v>
      </c>
      <c r="BD52" t="s">
        <v>3</v>
      </c>
      <c r="BE52" t="s">
        <v>3</v>
      </c>
      <c r="BF52" t="s">
        <v>3</v>
      </c>
      <c r="BG52" t="s">
        <v>3</v>
      </c>
      <c r="BH52">
        <v>3</v>
      </c>
      <c r="BI52">
        <v>1</v>
      </c>
      <c r="BJ52" t="s">
        <v>3</v>
      </c>
      <c r="BM52">
        <v>1100</v>
      </c>
      <c r="BN52">
        <v>0</v>
      </c>
      <c r="BO52" t="s">
        <v>3</v>
      </c>
      <c r="BP52">
        <v>0</v>
      </c>
      <c r="BQ52">
        <v>8</v>
      </c>
      <c r="BR52">
        <v>0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 t="s">
        <v>3</v>
      </c>
      <c r="BZ52">
        <v>0</v>
      </c>
      <c r="CA52">
        <v>0</v>
      </c>
      <c r="CB52" t="s">
        <v>3</v>
      </c>
      <c r="CE52">
        <v>0</v>
      </c>
      <c r="CF52">
        <v>0</v>
      </c>
      <c r="CG52">
        <v>0</v>
      </c>
      <c r="CM52">
        <v>0</v>
      </c>
      <c r="CN52" t="s">
        <v>3</v>
      </c>
      <c r="CO52">
        <v>0</v>
      </c>
      <c r="CP52">
        <f t="shared" si="82"/>
        <v>8045.84</v>
      </c>
      <c r="CQ52">
        <f t="shared" si="83"/>
        <v>2011.46</v>
      </c>
      <c r="CR52">
        <f t="shared" si="84"/>
        <v>0</v>
      </c>
      <c r="CS52">
        <f t="shared" si="85"/>
        <v>0</v>
      </c>
      <c r="CT52">
        <f t="shared" si="86"/>
        <v>0</v>
      </c>
      <c r="CU52">
        <f t="shared" si="87"/>
        <v>0</v>
      </c>
      <c r="CV52">
        <f t="shared" si="88"/>
        <v>0</v>
      </c>
      <c r="CW52">
        <f t="shared" si="89"/>
        <v>0</v>
      </c>
      <c r="CX52">
        <f t="shared" si="90"/>
        <v>0</v>
      </c>
      <c r="CY52">
        <f t="shared" si="91"/>
        <v>0</v>
      </c>
      <c r="CZ52">
        <f t="shared" si="92"/>
        <v>0</v>
      </c>
      <c r="DC52" t="s">
        <v>3</v>
      </c>
      <c r="DD52" t="s">
        <v>3</v>
      </c>
      <c r="DE52" t="s">
        <v>3</v>
      </c>
      <c r="DF52" t="s">
        <v>3</v>
      </c>
      <c r="DG52" t="s">
        <v>3</v>
      </c>
      <c r="DH52" t="s">
        <v>3</v>
      </c>
      <c r="DI52" t="s">
        <v>3</v>
      </c>
      <c r="DJ52" t="s">
        <v>3</v>
      </c>
      <c r="DK52" t="s">
        <v>3</v>
      </c>
      <c r="DL52" t="s">
        <v>3</v>
      </c>
      <c r="DM52" t="s">
        <v>3</v>
      </c>
      <c r="DN52">
        <v>0</v>
      </c>
      <c r="DO52">
        <v>0</v>
      </c>
      <c r="DP52">
        <v>1</v>
      </c>
      <c r="DQ52">
        <v>1</v>
      </c>
      <c r="DU52">
        <v>1010</v>
      </c>
      <c r="DV52" t="s">
        <v>155</v>
      </c>
      <c r="DW52" t="s">
        <v>155</v>
      </c>
      <c r="DX52">
        <v>1</v>
      </c>
      <c r="DZ52" t="s">
        <v>3</v>
      </c>
      <c r="EA52" t="s">
        <v>3</v>
      </c>
      <c r="EB52" t="s">
        <v>3</v>
      </c>
      <c r="EC52" t="s">
        <v>3</v>
      </c>
      <c r="EE52">
        <v>40523445</v>
      </c>
      <c r="EF52">
        <v>8</v>
      </c>
      <c r="EG52" t="s">
        <v>148</v>
      </c>
      <c r="EH52">
        <v>0</v>
      </c>
      <c r="EI52" t="s">
        <v>3</v>
      </c>
      <c r="EJ52">
        <v>1</v>
      </c>
      <c r="EK52">
        <v>1100</v>
      </c>
      <c r="EL52" t="s">
        <v>149</v>
      </c>
      <c r="EM52" t="s">
        <v>150</v>
      </c>
      <c r="EO52" t="s">
        <v>3</v>
      </c>
      <c r="EQ52">
        <v>0</v>
      </c>
      <c r="ER52">
        <v>2011.46</v>
      </c>
      <c r="ES52">
        <v>2011.46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5</v>
      </c>
      <c r="FC52">
        <v>1</v>
      </c>
      <c r="FD52">
        <v>18</v>
      </c>
      <c r="FF52">
        <v>2413.75</v>
      </c>
      <c r="FQ52">
        <v>0</v>
      </c>
      <c r="FR52">
        <f t="shared" si="93"/>
        <v>0</v>
      </c>
      <c r="FS52">
        <v>0</v>
      </c>
      <c r="FX52">
        <v>0</v>
      </c>
      <c r="FY52">
        <v>0</v>
      </c>
      <c r="GA52" t="s">
        <v>156</v>
      </c>
      <c r="GD52">
        <v>1</v>
      </c>
      <c r="GF52">
        <v>-1374995122</v>
      </c>
      <c r="GG52">
        <v>2</v>
      </c>
      <c r="GH52">
        <v>3</v>
      </c>
      <c r="GI52">
        <v>-2</v>
      </c>
      <c r="GJ52">
        <v>0</v>
      </c>
      <c r="GK52">
        <v>0</v>
      </c>
      <c r="GL52">
        <f t="shared" si="94"/>
        <v>0</v>
      </c>
      <c r="GM52">
        <f t="shared" si="95"/>
        <v>8045.84</v>
      </c>
      <c r="GN52">
        <f t="shared" si="96"/>
        <v>8045.84</v>
      </c>
      <c r="GO52">
        <f t="shared" si="97"/>
        <v>0</v>
      </c>
      <c r="GP52">
        <f t="shared" si="98"/>
        <v>0</v>
      </c>
      <c r="GR52">
        <v>1</v>
      </c>
      <c r="GS52">
        <v>1</v>
      </c>
      <c r="GT52">
        <v>0</v>
      </c>
      <c r="GU52" t="s">
        <v>3</v>
      </c>
      <c r="GV52">
        <f t="shared" si="99"/>
        <v>0</v>
      </c>
      <c r="GW52">
        <v>1</v>
      </c>
      <c r="GX52">
        <f t="shared" si="100"/>
        <v>0</v>
      </c>
      <c r="HA52">
        <v>0</v>
      </c>
      <c r="HB52">
        <v>0</v>
      </c>
      <c r="HC52">
        <f t="shared" si="101"/>
        <v>0</v>
      </c>
      <c r="HE52" t="s">
        <v>152</v>
      </c>
      <c r="HF52" t="s">
        <v>152</v>
      </c>
      <c r="HM52" t="s">
        <v>3</v>
      </c>
      <c r="HN52" t="s">
        <v>3</v>
      </c>
      <c r="HO52" t="s">
        <v>3</v>
      </c>
      <c r="HP52" t="s">
        <v>3</v>
      </c>
      <c r="HQ52" t="s">
        <v>3</v>
      </c>
      <c r="IK52">
        <v>0</v>
      </c>
    </row>
    <row r="53" spans="1:245" x14ac:dyDescent="0.2">
      <c r="A53">
        <v>17</v>
      </c>
      <c r="B53">
        <v>1</v>
      </c>
      <c r="E53" t="s">
        <v>157</v>
      </c>
      <c r="F53" t="s">
        <v>146</v>
      </c>
      <c r="G53" t="s">
        <v>158</v>
      </c>
      <c r="H53" t="s">
        <v>114</v>
      </c>
      <c r="I53">
        <v>16</v>
      </c>
      <c r="J53">
        <v>0</v>
      </c>
      <c r="K53">
        <v>16</v>
      </c>
      <c r="O53">
        <f t="shared" si="62"/>
        <v>11333.28</v>
      </c>
      <c r="P53">
        <f t="shared" si="63"/>
        <v>11333.28</v>
      </c>
      <c r="Q53">
        <f t="shared" si="64"/>
        <v>0</v>
      </c>
      <c r="R53">
        <f t="shared" si="65"/>
        <v>0</v>
      </c>
      <c r="S53">
        <f t="shared" si="66"/>
        <v>0</v>
      </c>
      <c r="T53">
        <f t="shared" si="67"/>
        <v>0</v>
      </c>
      <c r="U53">
        <f t="shared" si="68"/>
        <v>0</v>
      </c>
      <c r="V53">
        <f t="shared" si="69"/>
        <v>0</v>
      </c>
      <c r="W53">
        <f t="shared" si="70"/>
        <v>0</v>
      </c>
      <c r="X53">
        <f t="shared" si="71"/>
        <v>0</v>
      </c>
      <c r="Y53">
        <f t="shared" si="72"/>
        <v>0</v>
      </c>
      <c r="AA53">
        <v>40777027</v>
      </c>
      <c r="AB53">
        <f t="shared" si="73"/>
        <v>708.33</v>
      </c>
      <c r="AC53">
        <f t="shared" si="74"/>
        <v>708.33</v>
      </c>
      <c r="AD53">
        <f t="shared" si="75"/>
        <v>0</v>
      </c>
      <c r="AE53">
        <f t="shared" si="76"/>
        <v>0</v>
      </c>
      <c r="AF53">
        <f t="shared" si="77"/>
        <v>0</v>
      </c>
      <c r="AG53">
        <f t="shared" si="78"/>
        <v>0</v>
      </c>
      <c r="AH53">
        <f t="shared" si="79"/>
        <v>0</v>
      </c>
      <c r="AI53">
        <f t="shared" si="80"/>
        <v>0</v>
      </c>
      <c r="AJ53">
        <f t="shared" si="81"/>
        <v>0</v>
      </c>
      <c r="AK53">
        <v>708.33</v>
      </c>
      <c r="AL53">
        <v>708.33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1</v>
      </c>
      <c r="AW53">
        <v>1</v>
      </c>
      <c r="AZ53">
        <v>1</v>
      </c>
      <c r="BA53">
        <v>1</v>
      </c>
      <c r="BB53">
        <v>1</v>
      </c>
      <c r="BC53">
        <v>1</v>
      </c>
      <c r="BD53" t="s">
        <v>3</v>
      </c>
      <c r="BE53" t="s">
        <v>3</v>
      </c>
      <c r="BF53" t="s">
        <v>3</v>
      </c>
      <c r="BG53" t="s">
        <v>3</v>
      </c>
      <c r="BH53">
        <v>3</v>
      </c>
      <c r="BI53">
        <v>1</v>
      </c>
      <c r="BJ53" t="s">
        <v>3</v>
      </c>
      <c r="BM53">
        <v>1100</v>
      </c>
      <c r="BN53">
        <v>0</v>
      </c>
      <c r="BO53" t="s">
        <v>3</v>
      </c>
      <c r="BP53">
        <v>0</v>
      </c>
      <c r="BQ53">
        <v>8</v>
      </c>
      <c r="BR53">
        <v>0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0</v>
      </c>
      <c r="CA53">
        <v>0</v>
      </c>
      <c r="CB53" t="s">
        <v>3</v>
      </c>
      <c r="CE53">
        <v>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82"/>
        <v>11333.28</v>
      </c>
      <c r="CQ53">
        <f t="shared" si="83"/>
        <v>708.33</v>
      </c>
      <c r="CR53">
        <f t="shared" si="84"/>
        <v>0</v>
      </c>
      <c r="CS53">
        <f t="shared" si="85"/>
        <v>0</v>
      </c>
      <c r="CT53">
        <f t="shared" si="86"/>
        <v>0</v>
      </c>
      <c r="CU53">
        <f t="shared" si="87"/>
        <v>0</v>
      </c>
      <c r="CV53">
        <f t="shared" si="88"/>
        <v>0</v>
      </c>
      <c r="CW53">
        <f t="shared" si="89"/>
        <v>0</v>
      </c>
      <c r="CX53">
        <f t="shared" si="90"/>
        <v>0</v>
      </c>
      <c r="CY53">
        <f t="shared" si="91"/>
        <v>0</v>
      </c>
      <c r="CZ53">
        <f t="shared" si="92"/>
        <v>0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1003</v>
      </c>
      <c r="DV53" t="s">
        <v>114</v>
      </c>
      <c r="DW53" t="s">
        <v>114</v>
      </c>
      <c r="DX53">
        <v>1</v>
      </c>
      <c r="DZ53" t="s">
        <v>3</v>
      </c>
      <c r="EA53" t="s">
        <v>3</v>
      </c>
      <c r="EB53" t="s">
        <v>3</v>
      </c>
      <c r="EC53" t="s">
        <v>3</v>
      </c>
      <c r="EE53">
        <v>40523445</v>
      </c>
      <c r="EF53">
        <v>8</v>
      </c>
      <c r="EG53" t="s">
        <v>148</v>
      </c>
      <c r="EH53">
        <v>0</v>
      </c>
      <c r="EI53" t="s">
        <v>3</v>
      </c>
      <c r="EJ53">
        <v>1</v>
      </c>
      <c r="EK53">
        <v>1100</v>
      </c>
      <c r="EL53" t="s">
        <v>149</v>
      </c>
      <c r="EM53" t="s">
        <v>150</v>
      </c>
      <c r="EO53" t="s">
        <v>3</v>
      </c>
      <c r="EQ53">
        <v>0</v>
      </c>
      <c r="ER53">
        <v>708.33</v>
      </c>
      <c r="ES53">
        <v>708.33</v>
      </c>
      <c r="ET53">
        <v>0</v>
      </c>
      <c r="EU53">
        <v>0</v>
      </c>
      <c r="EV53">
        <v>0</v>
      </c>
      <c r="EW53">
        <v>0</v>
      </c>
      <c r="EX53">
        <v>0</v>
      </c>
      <c r="EY53">
        <v>0</v>
      </c>
      <c r="EZ53">
        <v>5</v>
      </c>
      <c r="FC53">
        <v>1</v>
      </c>
      <c r="FD53">
        <v>18</v>
      </c>
      <c r="FF53">
        <v>850</v>
      </c>
      <c r="FQ53">
        <v>0</v>
      </c>
      <c r="FR53">
        <f t="shared" si="93"/>
        <v>0</v>
      </c>
      <c r="FS53">
        <v>0</v>
      </c>
      <c r="FX53">
        <v>0</v>
      </c>
      <c r="FY53">
        <v>0</v>
      </c>
      <c r="GA53" t="s">
        <v>159</v>
      </c>
      <c r="GD53">
        <v>1</v>
      </c>
      <c r="GF53">
        <v>29718227</v>
      </c>
      <c r="GG53">
        <v>2</v>
      </c>
      <c r="GH53">
        <v>3</v>
      </c>
      <c r="GI53">
        <v>-2</v>
      </c>
      <c r="GJ53">
        <v>0</v>
      </c>
      <c r="GK53">
        <v>0</v>
      </c>
      <c r="GL53">
        <f t="shared" si="94"/>
        <v>0</v>
      </c>
      <c r="GM53">
        <f t="shared" si="95"/>
        <v>11333.28</v>
      </c>
      <c r="GN53">
        <f t="shared" si="96"/>
        <v>11333.28</v>
      </c>
      <c r="GO53">
        <f t="shared" si="97"/>
        <v>0</v>
      </c>
      <c r="GP53">
        <f t="shared" si="98"/>
        <v>0</v>
      </c>
      <c r="GR53">
        <v>1</v>
      </c>
      <c r="GS53">
        <v>1</v>
      </c>
      <c r="GT53">
        <v>0</v>
      </c>
      <c r="GU53" t="s">
        <v>3</v>
      </c>
      <c r="GV53">
        <f t="shared" si="99"/>
        <v>0</v>
      </c>
      <c r="GW53">
        <v>1</v>
      </c>
      <c r="GX53">
        <f t="shared" si="100"/>
        <v>0</v>
      </c>
      <c r="HA53">
        <v>0</v>
      </c>
      <c r="HB53">
        <v>0</v>
      </c>
      <c r="HC53">
        <f t="shared" si="101"/>
        <v>0</v>
      </c>
      <c r="HE53" t="s">
        <v>152</v>
      </c>
      <c r="HF53" t="s">
        <v>152</v>
      </c>
      <c r="HM53" t="s">
        <v>3</v>
      </c>
      <c r="HN53" t="s">
        <v>3</v>
      </c>
      <c r="HO53" t="s">
        <v>3</v>
      </c>
      <c r="HP53" t="s">
        <v>3</v>
      </c>
      <c r="HQ53" t="s">
        <v>3</v>
      </c>
      <c r="IK53">
        <v>0</v>
      </c>
    </row>
    <row r="54" spans="1:245" x14ac:dyDescent="0.2">
      <c r="A54">
        <v>17</v>
      </c>
      <c r="B54">
        <v>1</v>
      </c>
      <c r="E54" t="s">
        <v>160</v>
      </c>
      <c r="F54" t="s">
        <v>146</v>
      </c>
      <c r="G54" t="s">
        <v>161</v>
      </c>
      <c r="H54" t="s">
        <v>114</v>
      </c>
      <c r="I54">
        <v>78</v>
      </c>
      <c r="J54">
        <v>0</v>
      </c>
      <c r="K54">
        <v>78</v>
      </c>
      <c r="O54">
        <f t="shared" si="62"/>
        <v>65974.740000000005</v>
      </c>
      <c r="P54">
        <f t="shared" si="63"/>
        <v>65974.740000000005</v>
      </c>
      <c r="Q54">
        <f t="shared" si="64"/>
        <v>0</v>
      </c>
      <c r="R54">
        <f t="shared" si="65"/>
        <v>0</v>
      </c>
      <c r="S54">
        <f t="shared" si="66"/>
        <v>0</v>
      </c>
      <c r="T54">
        <f t="shared" si="67"/>
        <v>0</v>
      </c>
      <c r="U54">
        <f t="shared" si="68"/>
        <v>0</v>
      </c>
      <c r="V54">
        <f t="shared" si="69"/>
        <v>0</v>
      </c>
      <c r="W54">
        <f t="shared" si="70"/>
        <v>0</v>
      </c>
      <c r="X54">
        <f t="shared" si="71"/>
        <v>0</v>
      </c>
      <c r="Y54">
        <f t="shared" si="72"/>
        <v>0</v>
      </c>
      <c r="AA54">
        <v>40777027</v>
      </c>
      <c r="AB54">
        <f t="shared" si="73"/>
        <v>845.83</v>
      </c>
      <c r="AC54">
        <f t="shared" si="74"/>
        <v>845.83</v>
      </c>
      <c r="AD54">
        <f t="shared" si="75"/>
        <v>0</v>
      </c>
      <c r="AE54">
        <f t="shared" si="76"/>
        <v>0</v>
      </c>
      <c r="AF54">
        <f t="shared" si="77"/>
        <v>0</v>
      </c>
      <c r="AG54">
        <f t="shared" si="78"/>
        <v>0</v>
      </c>
      <c r="AH54">
        <f t="shared" si="79"/>
        <v>0</v>
      </c>
      <c r="AI54">
        <f t="shared" si="80"/>
        <v>0</v>
      </c>
      <c r="AJ54">
        <f t="shared" si="81"/>
        <v>0</v>
      </c>
      <c r="AK54">
        <v>845.83</v>
      </c>
      <c r="AL54">
        <v>845.83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1</v>
      </c>
      <c r="AW54">
        <v>1</v>
      </c>
      <c r="AZ54">
        <v>1</v>
      </c>
      <c r="BA54">
        <v>1</v>
      </c>
      <c r="BB54">
        <v>1</v>
      </c>
      <c r="BC54">
        <v>1</v>
      </c>
      <c r="BD54" t="s">
        <v>3</v>
      </c>
      <c r="BE54" t="s">
        <v>3</v>
      </c>
      <c r="BF54" t="s">
        <v>3</v>
      </c>
      <c r="BG54" t="s">
        <v>3</v>
      </c>
      <c r="BH54">
        <v>3</v>
      </c>
      <c r="BI54">
        <v>1</v>
      </c>
      <c r="BJ54" t="s">
        <v>3</v>
      </c>
      <c r="BM54">
        <v>1100</v>
      </c>
      <c r="BN54">
        <v>0</v>
      </c>
      <c r="BO54" t="s">
        <v>3</v>
      </c>
      <c r="BP54">
        <v>0</v>
      </c>
      <c r="BQ54">
        <v>8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1</v>
      </c>
      <c r="BX54">
        <v>1</v>
      </c>
      <c r="BY54" t="s">
        <v>3</v>
      </c>
      <c r="BZ54">
        <v>0</v>
      </c>
      <c r="CA54">
        <v>0</v>
      </c>
      <c r="CB54" t="s">
        <v>3</v>
      </c>
      <c r="CE54">
        <v>0</v>
      </c>
      <c r="CF54">
        <v>0</v>
      </c>
      <c r="CG54">
        <v>0</v>
      </c>
      <c r="CM54">
        <v>0</v>
      </c>
      <c r="CN54" t="s">
        <v>3</v>
      </c>
      <c r="CO54">
        <v>0</v>
      </c>
      <c r="CP54">
        <f t="shared" si="82"/>
        <v>65974.740000000005</v>
      </c>
      <c r="CQ54">
        <f t="shared" si="83"/>
        <v>845.83</v>
      </c>
      <c r="CR54">
        <f t="shared" si="84"/>
        <v>0</v>
      </c>
      <c r="CS54">
        <f t="shared" si="85"/>
        <v>0</v>
      </c>
      <c r="CT54">
        <f t="shared" si="86"/>
        <v>0</v>
      </c>
      <c r="CU54">
        <f t="shared" si="87"/>
        <v>0</v>
      </c>
      <c r="CV54">
        <f t="shared" si="88"/>
        <v>0</v>
      </c>
      <c r="CW54">
        <f t="shared" si="89"/>
        <v>0</v>
      </c>
      <c r="CX54">
        <f t="shared" si="90"/>
        <v>0</v>
      </c>
      <c r="CY54">
        <f t="shared" si="91"/>
        <v>0</v>
      </c>
      <c r="CZ54">
        <f t="shared" si="92"/>
        <v>0</v>
      </c>
      <c r="DC54" t="s">
        <v>3</v>
      </c>
      <c r="DD54" t="s">
        <v>3</v>
      </c>
      <c r="DE54" t="s">
        <v>3</v>
      </c>
      <c r="DF54" t="s">
        <v>3</v>
      </c>
      <c r="DG54" t="s">
        <v>3</v>
      </c>
      <c r="DH54" t="s">
        <v>3</v>
      </c>
      <c r="DI54" t="s">
        <v>3</v>
      </c>
      <c r="DJ54" t="s">
        <v>3</v>
      </c>
      <c r="DK54" t="s">
        <v>3</v>
      </c>
      <c r="DL54" t="s">
        <v>3</v>
      </c>
      <c r="DM54" t="s">
        <v>3</v>
      </c>
      <c r="DN54">
        <v>0</v>
      </c>
      <c r="DO54">
        <v>0</v>
      </c>
      <c r="DP54">
        <v>1</v>
      </c>
      <c r="DQ54">
        <v>1</v>
      </c>
      <c r="DU54">
        <v>1003</v>
      </c>
      <c r="DV54" t="s">
        <v>114</v>
      </c>
      <c r="DW54" t="s">
        <v>114</v>
      </c>
      <c r="DX54">
        <v>1</v>
      </c>
      <c r="DZ54" t="s">
        <v>3</v>
      </c>
      <c r="EA54" t="s">
        <v>3</v>
      </c>
      <c r="EB54" t="s">
        <v>3</v>
      </c>
      <c r="EC54" t="s">
        <v>3</v>
      </c>
      <c r="EE54">
        <v>40523445</v>
      </c>
      <c r="EF54">
        <v>8</v>
      </c>
      <c r="EG54" t="s">
        <v>148</v>
      </c>
      <c r="EH54">
        <v>0</v>
      </c>
      <c r="EI54" t="s">
        <v>3</v>
      </c>
      <c r="EJ54">
        <v>1</v>
      </c>
      <c r="EK54">
        <v>1100</v>
      </c>
      <c r="EL54" t="s">
        <v>149</v>
      </c>
      <c r="EM54" t="s">
        <v>150</v>
      </c>
      <c r="EO54" t="s">
        <v>3</v>
      </c>
      <c r="EQ54">
        <v>0</v>
      </c>
      <c r="ER54">
        <v>845.83</v>
      </c>
      <c r="ES54">
        <v>845.83</v>
      </c>
      <c r="ET54">
        <v>0</v>
      </c>
      <c r="EU54">
        <v>0</v>
      </c>
      <c r="EV54">
        <v>0</v>
      </c>
      <c r="EW54">
        <v>0</v>
      </c>
      <c r="EX54">
        <v>0</v>
      </c>
      <c r="EY54">
        <v>0</v>
      </c>
      <c r="EZ54">
        <v>5</v>
      </c>
      <c r="FC54">
        <v>1</v>
      </c>
      <c r="FD54">
        <v>18</v>
      </c>
      <c r="FF54">
        <v>1015</v>
      </c>
      <c r="FQ54">
        <v>0</v>
      </c>
      <c r="FR54">
        <f t="shared" si="93"/>
        <v>0</v>
      </c>
      <c r="FS54">
        <v>0</v>
      </c>
      <c r="FX54">
        <v>0</v>
      </c>
      <c r="FY54">
        <v>0</v>
      </c>
      <c r="GA54" t="s">
        <v>162</v>
      </c>
      <c r="GD54">
        <v>1</v>
      </c>
      <c r="GF54">
        <v>-1071045737</v>
      </c>
      <c r="GG54">
        <v>2</v>
      </c>
      <c r="GH54">
        <v>3</v>
      </c>
      <c r="GI54">
        <v>-2</v>
      </c>
      <c r="GJ54">
        <v>0</v>
      </c>
      <c r="GK54">
        <v>0</v>
      </c>
      <c r="GL54">
        <f t="shared" si="94"/>
        <v>0</v>
      </c>
      <c r="GM54">
        <f t="shared" si="95"/>
        <v>65974.740000000005</v>
      </c>
      <c r="GN54">
        <f t="shared" si="96"/>
        <v>65974.740000000005</v>
      </c>
      <c r="GO54">
        <f t="shared" si="97"/>
        <v>0</v>
      </c>
      <c r="GP54">
        <f t="shared" si="98"/>
        <v>0</v>
      </c>
      <c r="GR54">
        <v>1</v>
      </c>
      <c r="GS54">
        <v>1</v>
      </c>
      <c r="GT54">
        <v>0</v>
      </c>
      <c r="GU54" t="s">
        <v>3</v>
      </c>
      <c r="GV54">
        <f t="shared" si="99"/>
        <v>0</v>
      </c>
      <c r="GW54">
        <v>1</v>
      </c>
      <c r="GX54">
        <f t="shared" si="100"/>
        <v>0</v>
      </c>
      <c r="HA54">
        <v>0</v>
      </c>
      <c r="HB54">
        <v>0</v>
      </c>
      <c r="HC54">
        <f t="shared" si="101"/>
        <v>0</v>
      </c>
      <c r="HE54" t="s">
        <v>152</v>
      </c>
      <c r="HF54" t="s">
        <v>152</v>
      </c>
      <c r="HM54" t="s">
        <v>3</v>
      </c>
      <c r="HN54" t="s">
        <v>3</v>
      </c>
      <c r="HO54" t="s">
        <v>3</v>
      </c>
      <c r="HP54" t="s">
        <v>3</v>
      </c>
      <c r="HQ54" t="s">
        <v>3</v>
      </c>
      <c r="IK54">
        <v>0</v>
      </c>
    </row>
    <row r="55" spans="1:245" x14ac:dyDescent="0.2">
      <c r="A55">
        <v>17</v>
      </c>
      <c r="B55">
        <v>1</v>
      </c>
      <c r="E55" t="s">
        <v>163</v>
      </c>
      <c r="F55" t="s">
        <v>146</v>
      </c>
      <c r="G55" t="s">
        <v>164</v>
      </c>
      <c r="H55" t="s">
        <v>114</v>
      </c>
      <c r="I55">
        <v>4</v>
      </c>
      <c r="J55">
        <v>0</v>
      </c>
      <c r="K55">
        <v>4</v>
      </c>
      <c r="O55">
        <f t="shared" si="62"/>
        <v>950</v>
      </c>
      <c r="P55">
        <f t="shared" si="63"/>
        <v>950</v>
      </c>
      <c r="Q55">
        <f t="shared" si="64"/>
        <v>0</v>
      </c>
      <c r="R55">
        <f t="shared" si="65"/>
        <v>0</v>
      </c>
      <c r="S55">
        <f t="shared" si="66"/>
        <v>0</v>
      </c>
      <c r="T55">
        <f t="shared" si="67"/>
        <v>0</v>
      </c>
      <c r="U55">
        <f t="shared" si="68"/>
        <v>0</v>
      </c>
      <c r="V55">
        <f t="shared" si="69"/>
        <v>0</v>
      </c>
      <c r="W55">
        <f t="shared" si="70"/>
        <v>0</v>
      </c>
      <c r="X55">
        <f t="shared" si="71"/>
        <v>0</v>
      </c>
      <c r="Y55">
        <f t="shared" si="72"/>
        <v>0</v>
      </c>
      <c r="AA55">
        <v>40777027</v>
      </c>
      <c r="AB55">
        <f t="shared" si="73"/>
        <v>237.5</v>
      </c>
      <c r="AC55">
        <f t="shared" si="74"/>
        <v>237.5</v>
      </c>
      <c r="AD55">
        <f t="shared" si="75"/>
        <v>0</v>
      </c>
      <c r="AE55">
        <f t="shared" si="76"/>
        <v>0</v>
      </c>
      <c r="AF55">
        <f t="shared" si="77"/>
        <v>0</v>
      </c>
      <c r="AG55">
        <f t="shared" si="78"/>
        <v>0</v>
      </c>
      <c r="AH55">
        <f t="shared" si="79"/>
        <v>0</v>
      </c>
      <c r="AI55">
        <f t="shared" si="80"/>
        <v>0</v>
      </c>
      <c r="AJ55">
        <f t="shared" si="81"/>
        <v>0</v>
      </c>
      <c r="AK55">
        <v>237.5</v>
      </c>
      <c r="AL55">
        <v>237.5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1</v>
      </c>
      <c r="AW55">
        <v>1</v>
      </c>
      <c r="AZ55">
        <v>1</v>
      </c>
      <c r="BA55">
        <v>1</v>
      </c>
      <c r="BB55">
        <v>1</v>
      </c>
      <c r="BC55">
        <v>1</v>
      </c>
      <c r="BD55" t="s">
        <v>3</v>
      </c>
      <c r="BE55" t="s">
        <v>3</v>
      </c>
      <c r="BF55" t="s">
        <v>3</v>
      </c>
      <c r="BG55" t="s">
        <v>3</v>
      </c>
      <c r="BH55">
        <v>3</v>
      </c>
      <c r="BI55">
        <v>1</v>
      </c>
      <c r="BJ55" t="s">
        <v>3</v>
      </c>
      <c r="BM55">
        <v>1100</v>
      </c>
      <c r="BN55">
        <v>0</v>
      </c>
      <c r="BO55" t="s">
        <v>3</v>
      </c>
      <c r="BP55">
        <v>0</v>
      </c>
      <c r="BQ55">
        <v>8</v>
      </c>
      <c r="BR55">
        <v>0</v>
      </c>
      <c r="BS55">
        <v>1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0</v>
      </c>
      <c r="CA55">
        <v>0</v>
      </c>
      <c r="CB55" t="s">
        <v>3</v>
      </c>
      <c r="CE55">
        <v>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82"/>
        <v>950</v>
      </c>
      <c r="CQ55">
        <f t="shared" si="83"/>
        <v>237.5</v>
      </c>
      <c r="CR55">
        <f t="shared" si="84"/>
        <v>0</v>
      </c>
      <c r="CS55">
        <f t="shared" si="85"/>
        <v>0</v>
      </c>
      <c r="CT55">
        <f t="shared" si="86"/>
        <v>0</v>
      </c>
      <c r="CU55">
        <f t="shared" si="87"/>
        <v>0</v>
      </c>
      <c r="CV55">
        <f t="shared" si="88"/>
        <v>0</v>
      </c>
      <c r="CW55">
        <f t="shared" si="89"/>
        <v>0</v>
      </c>
      <c r="CX55">
        <f t="shared" si="90"/>
        <v>0</v>
      </c>
      <c r="CY55">
        <f t="shared" si="91"/>
        <v>0</v>
      </c>
      <c r="CZ55">
        <f t="shared" si="92"/>
        <v>0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1003</v>
      </c>
      <c r="DV55" t="s">
        <v>114</v>
      </c>
      <c r="DW55" t="s">
        <v>114</v>
      </c>
      <c r="DX55">
        <v>1</v>
      </c>
      <c r="DZ55" t="s">
        <v>3</v>
      </c>
      <c r="EA55" t="s">
        <v>3</v>
      </c>
      <c r="EB55" t="s">
        <v>3</v>
      </c>
      <c r="EC55" t="s">
        <v>3</v>
      </c>
      <c r="EE55">
        <v>40523445</v>
      </c>
      <c r="EF55">
        <v>8</v>
      </c>
      <c r="EG55" t="s">
        <v>148</v>
      </c>
      <c r="EH55">
        <v>0</v>
      </c>
      <c r="EI55" t="s">
        <v>3</v>
      </c>
      <c r="EJ55">
        <v>1</v>
      </c>
      <c r="EK55">
        <v>1100</v>
      </c>
      <c r="EL55" t="s">
        <v>149</v>
      </c>
      <c r="EM55" t="s">
        <v>150</v>
      </c>
      <c r="EO55" t="s">
        <v>3</v>
      </c>
      <c r="EQ55">
        <v>0</v>
      </c>
      <c r="ER55">
        <v>237.5</v>
      </c>
      <c r="ES55">
        <v>237.5</v>
      </c>
      <c r="ET55">
        <v>0</v>
      </c>
      <c r="EU55">
        <v>0</v>
      </c>
      <c r="EV55">
        <v>0</v>
      </c>
      <c r="EW55">
        <v>0</v>
      </c>
      <c r="EX55">
        <v>0</v>
      </c>
      <c r="EY55">
        <v>0</v>
      </c>
      <c r="EZ55">
        <v>5</v>
      </c>
      <c r="FC55">
        <v>1</v>
      </c>
      <c r="FD55">
        <v>18</v>
      </c>
      <c r="FF55">
        <v>285</v>
      </c>
      <c r="FQ55">
        <v>0</v>
      </c>
      <c r="FR55">
        <f t="shared" si="93"/>
        <v>0</v>
      </c>
      <c r="FS55">
        <v>0</v>
      </c>
      <c r="FX55">
        <v>0</v>
      </c>
      <c r="FY55">
        <v>0</v>
      </c>
      <c r="GA55" t="s">
        <v>165</v>
      </c>
      <c r="GD55">
        <v>1</v>
      </c>
      <c r="GF55">
        <v>-1717584841</v>
      </c>
      <c r="GG55">
        <v>2</v>
      </c>
      <c r="GH55">
        <v>3</v>
      </c>
      <c r="GI55">
        <v>-2</v>
      </c>
      <c r="GJ55">
        <v>0</v>
      </c>
      <c r="GK55">
        <v>0</v>
      </c>
      <c r="GL55">
        <f t="shared" si="94"/>
        <v>0</v>
      </c>
      <c r="GM55">
        <f t="shared" si="95"/>
        <v>950</v>
      </c>
      <c r="GN55">
        <f t="shared" si="96"/>
        <v>950</v>
      </c>
      <c r="GO55">
        <f t="shared" si="97"/>
        <v>0</v>
      </c>
      <c r="GP55">
        <f t="shared" si="98"/>
        <v>0</v>
      </c>
      <c r="GR55">
        <v>1</v>
      </c>
      <c r="GS55">
        <v>1</v>
      </c>
      <c r="GT55">
        <v>0</v>
      </c>
      <c r="GU55" t="s">
        <v>3</v>
      </c>
      <c r="GV55">
        <f t="shared" si="99"/>
        <v>0</v>
      </c>
      <c r="GW55">
        <v>1</v>
      </c>
      <c r="GX55">
        <f t="shared" si="100"/>
        <v>0</v>
      </c>
      <c r="HA55">
        <v>0</v>
      </c>
      <c r="HB55">
        <v>0</v>
      </c>
      <c r="HC55">
        <f t="shared" si="101"/>
        <v>0</v>
      </c>
      <c r="HE55" t="s">
        <v>152</v>
      </c>
      <c r="HF55" t="s">
        <v>152</v>
      </c>
      <c r="HM55" t="s">
        <v>3</v>
      </c>
      <c r="HN55" t="s">
        <v>3</v>
      </c>
      <c r="HO55" t="s">
        <v>3</v>
      </c>
      <c r="HP55" t="s">
        <v>3</v>
      </c>
      <c r="HQ55" t="s">
        <v>3</v>
      </c>
      <c r="IK55">
        <v>0</v>
      </c>
    </row>
    <row r="56" spans="1:245" x14ac:dyDescent="0.2">
      <c r="A56">
        <v>17</v>
      </c>
      <c r="B56">
        <v>1</v>
      </c>
      <c r="E56" t="s">
        <v>166</v>
      </c>
      <c r="F56" t="s">
        <v>146</v>
      </c>
      <c r="G56" t="s">
        <v>167</v>
      </c>
      <c r="H56" t="s">
        <v>168</v>
      </c>
      <c r="I56">
        <v>4.5</v>
      </c>
      <c r="J56">
        <v>0</v>
      </c>
      <c r="K56">
        <v>4.5</v>
      </c>
      <c r="O56">
        <f t="shared" si="62"/>
        <v>2302.52</v>
      </c>
      <c r="P56">
        <f t="shared" si="63"/>
        <v>2302.52</v>
      </c>
      <c r="Q56">
        <f t="shared" si="64"/>
        <v>0</v>
      </c>
      <c r="R56">
        <f t="shared" si="65"/>
        <v>0</v>
      </c>
      <c r="S56">
        <f t="shared" si="66"/>
        <v>0</v>
      </c>
      <c r="T56">
        <f t="shared" si="67"/>
        <v>0</v>
      </c>
      <c r="U56">
        <f t="shared" si="68"/>
        <v>0</v>
      </c>
      <c r="V56">
        <f t="shared" si="69"/>
        <v>0</v>
      </c>
      <c r="W56">
        <f t="shared" si="70"/>
        <v>0</v>
      </c>
      <c r="X56">
        <f t="shared" si="71"/>
        <v>0</v>
      </c>
      <c r="Y56">
        <f t="shared" si="72"/>
        <v>0</v>
      </c>
      <c r="AA56">
        <v>40777027</v>
      </c>
      <c r="AB56">
        <f t="shared" si="73"/>
        <v>511.67</v>
      </c>
      <c r="AC56">
        <f t="shared" si="74"/>
        <v>511.67</v>
      </c>
      <c r="AD56">
        <f t="shared" si="75"/>
        <v>0</v>
      </c>
      <c r="AE56">
        <f t="shared" si="76"/>
        <v>0</v>
      </c>
      <c r="AF56">
        <f t="shared" si="77"/>
        <v>0</v>
      </c>
      <c r="AG56">
        <f t="shared" si="78"/>
        <v>0</v>
      </c>
      <c r="AH56">
        <f t="shared" si="79"/>
        <v>0</v>
      </c>
      <c r="AI56">
        <f t="shared" si="80"/>
        <v>0</v>
      </c>
      <c r="AJ56">
        <f t="shared" si="81"/>
        <v>0</v>
      </c>
      <c r="AK56">
        <v>511.67</v>
      </c>
      <c r="AL56">
        <v>511.67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1</v>
      </c>
      <c r="AW56">
        <v>1</v>
      </c>
      <c r="AZ56">
        <v>1</v>
      </c>
      <c r="BA56">
        <v>1</v>
      </c>
      <c r="BB56">
        <v>1</v>
      </c>
      <c r="BC56">
        <v>1</v>
      </c>
      <c r="BD56" t="s">
        <v>3</v>
      </c>
      <c r="BE56" t="s">
        <v>3</v>
      </c>
      <c r="BF56" t="s">
        <v>3</v>
      </c>
      <c r="BG56" t="s">
        <v>3</v>
      </c>
      <c r="BH56">
        <v>3</v>
      </c>
      <c r="BI56">
        <v>1</v>
      </c>
      <c r="BJ56" t="s">
        <v>3</v>
      </c>
      <c r="BM56">
        <v>1100</v>
      </c>
      <c r="BN56">
        <v>0</v>
      </c>
      <c r="BO56" t="s">
        <v>3</v>
      </c>
      <c r="BP56">
        <v>0</v>
      </c>
      <c r="BQ56">
        <v>8</v>
      </c>
      <c r="BR56">
        <v>0</v>
      </c>
      <c r="BS56">
        <v>1</v>
      </c>
      <c r="BT56">
        <v>1</v>
      </c>
      <c r="BU56">
        <v>1</v>
      </c>
      <c r="BV56">
        <v>1</v>
      </c>
      <c r="BW56">
        <v>1</v>
      </c>
      <c r="BX56">
        <v>1</v>
      </c>
      <c r="BY56" t="s">
        <v>3</v>
      </c>
      <c r="BZ56">
        <v>0</v>
      </c>
      <c r="CA56">
        <v>0</v>
      </c>
      <c r="CB56" t="s">
        <v>3</v>
      </c>
      <c r="CE56">
        <v>0</v>
      </c>
      <c r="CF56">
        <v>0</v>
      </c>
      <c r="CG56">
        <v>0</v>
      </c>
      <c r="CM56">
        <v>0</v>
      </c>
      <c r="CN56" t="s">
        <v>3</v>
      </c>
      <c r="CO56">
        <v>0</v>
      </c>
      <c r="CP56">
        <f t="shared" si="82"/>
        <v>2302.52</v>
      </c>
      <c r="CQ56">
        <f t="shared" si="83"/>
        <v>511.67</v>
      </c>
      <c r="CR56">
        <f t="shared" si="84"/>
        <v>0</v>
      </c>
      <c r="CS56">
        <f t="shared" si="85"/>
        <v>0</v>
      </c>
      <c r="CT56">
        <f t="shared" si="86"/>
        <v>0</v>
      </c>
      <c r="CU56">
        <f t="shared" si="87"/>
        <v>0</v>
      </c>
      <c r="CV56">
        <f t="shared" si="88"/>
        <v>0</v>
      </c>
      <c r="CW56">
        <f t="shared" si="89"/>
        <v>0</v>
      </c>
      <c r="CX56">
        <f t="shared" si="90"/>
        <v>0</v>
      </c>
      <c r="CY56">
        <f t="shared" si="91"/>
        <v>0</v>
      </c>
      <c r="CZ56">
        <f t="shared" si="92"/>
        <v>0</v>
      </c>
      <c r="DC56" t="s">
        <v>3</v>
      </c>
      <c r="DD56" t="s">
        <v>3</v>
      </c>
      <c r="DE56" t="s">
        <v>3</v>
      </c>
      <c r="DF56" t="s">
        <v>3</v>
      </c>
      <c r="DG56" t="s">
        <v>3</v>
      </c>
      <c r="DH56" t="s">
        <v>3</v>
      </c>
      <c r="DI56" t="s">
        <v>3</v>
      </c>
      <c r="DJ56" t="s">
        <v>3</v>
      </c>
      <c r="DK56" t="s">
        <v>3</v>
      </c>
      <c r="DL56" t="s">
        <v>3</v>
      </c>
      <c r="DM56" t="s">
        <v>3</v>
      </c>
      <c r="DN56">
        <v>0</v>
      </c>
      <c r="DO56">
        <v>0</v>
      </c>
      <c r="DP56">
        <v>1</v>
      </c>
      <c r="DQ56">
        <v>1</v>
      </c>
      <c r="DU56">
        <v>1013</v>
      </c>
      <c r="DV56" t="s">
        <v>168</v>
      </c>
      <c r="DW56" t="s">
        <v>168</v>
      </c>
      <c r="DX56">
        <v>1</v>
      </c>
      <c r="DZ56" t="s">
        <v>3</v>
      </c>
      <c r="EA56" t="s">
        <v>3</v>
      </c>
      <c r="EB56" t="s">
        <v>3</v>
      </c>
      <c r="EC56" t="s">
        <v>3</v>
      </c>
      <c r="EE56">
        <v>40523445</v>
      </c>
      <c r="EF56">
        <v>8</v>
      </c>
      <c r="EG56" t="s">
        <v>148</v>
      </c>
      <c r="EH56">
        <v>0</v>
      </c>
      <c r="EI56" t="s">
        <v>3</v>
      </c>
      <c r="EJ56">
        <v>1</v>
      </c>
      <c r="EK56">
        <v>1100</v>
      </c>
      <c r="EL56" t="s">
        <v>149</v>
      </c>
      <c r="EM56" t="s">
        <v>150</v>
      </c>
      <c r="EO56" t="s">
        <v>3</v>
      </c>
      <c r="EQ56">
        <v>0</v>
      </c>
      <c r="ER56">
        <v>511.67</v>
      </c>
      <c r="ES56">
        <v>511.67</v>
      </c>
      <c r="ET56">
        <v>0</v>
      </c>
      <c r="EU56">
        <v>0</v>
      </c>
      <c r="EV56">
        <v>0</v>
      </c>
      <c r="EW56">
        <v>0</v>
      </c>
      <c r="EX56">
        <v>0</v>
      </c>
      <c r="EY56">
        <v>0</v>
      </c>
      <c r="EZ56">
        <v>5</v>
      </c>
      <c r="FC56">
        <v>1</v>
      </c>
      <c r="FD56">
        <v>18</v>
      </c>
      <c r="FF56">
        <v>614</v>
      </c>
      <c r="FQ56">
        <v>0</v>
      </c>
      <c r="FR56">
        <f t="shared" si="93"/>
        <v>0</v>
      </c>
      <c r="FS56">
        <v>0</v>
      </c>
      <c r="FX56">
        <v>0</v>
      </c>
      <c r="FY56">
        <v>0</v>
      </c>
      <c r="GA56" t="s">
        <v>169</v>
      </c>
      <c r="GD56">
        <v>1</v>
      </c>
      <c r="GF56">
        <v>303895422</v>
      </c>
      <c r="GG56">
        <v>2</v>
      </c>
      <c r="GH56">
        <v>3</v>
      </c>
      <c r="GI56">
        <v>-2</v>
      </c>
      <c r="GJ56">
        <v>0</v>
      </c>
      <c r="GK56">
        <v>0</v>
      </c>
      <c r="GL56">
        <f t="shared" si="94"/>
        <v>0</v>
      </c>
      <c r="GM56">
        <f t="shared" si="95"/>
        <v>2302.52</v>
      </c>
      <c r="GN56">
        <f t="shared" si="96"/>
        <v>2302.52</v>
      </c>
      <c r="GO56">
        <f t="shared" si="97"/>
        <v>0</v>
      </c>
      <c r="GP56">
        <f t="shared" si="98"/>
        <v>0</v>
      </c>
      <c r="GR56">
        <v>1</v>
      </c>
      <c r="GS56">
        <v>1</v>
      </c>
      <c r="GT56">
        <v>0</v>
      </c>
      <c r="GU56" t="s">
        <v>3</v>
      </c>
      <c r="GV56">
        <f t="shared" si="99"/>
        <v>0</v>
      </c>
      <c r="GW56">
        <v>1</v>
      </c>
      <c r="GX56">
        <f t="shared" si="100"/>
        <v>0</v>
      </c>
      <c r="HA56">
        <v>0</v>
      </c>
      <c r="HB56">
        <v>0</v>
      </c>
      <c r="HC56">
        <f t="shared" si="101"/>
        <v>0</v>
      </c>
      <c r="HE56" t="s">
        <v>152</v>
      </c>
      <c r="HF56" t="s">
        <v>152</v>
      </c>
      <c r="HM56" t="s">
        <v>3</v>
      </c>
      <c r="HN56" t="s">
        <v>3</v>
      </c>
      <c r="HO56" t="s">
        <v>3</v>
      </c>
      <c r="HP56" t="s">
        <v>3</v>
      </c>
      <c r="HQ56" t="s">
        <v>3</v>
      </c>
      <c r="IK56">
        <v>0</v>
      </c>
    </row>
    <row r="57" spans="1:245" x14ac:dyDescent="0.2">
      <c r="A57">
        <v>17</v>
      </c>
      <c r="B57">
        <v>1</v>
      </c>
      <c r="E57" t="s">
        <v>170</v>
      </c>
      <c r="F57" t="s">
        <v>146</v>
      </c>
      <c r="G57" t="s">
        <v>171</v>
      </c>
      <c r="H57" t="s">
        <v>155</v>
      </c>
      <c r="I57">
        <v>457</v>
      </c>
      <c r="J57">
        <v>0</v>
      </c>
      <c r="K57">
        <v>457</v>
      </c>
      <c r="O57">
        <f t="shared" si="62"/>
        <v>6663.06</v>
      </c>
      <c r="P57">
        <f t="shared" si="63"/>
        <v>6663.06</v>
      </c>
      <c r="Q57">
        <f t="shared" si="64"/>
        <v>0</v>
      </c>
      <c r="R57">
        <f t="shared" si="65"/>
        <v>0</v>
      </c>
      <c r="S57">
        <f t="shared" si="66"/>
        <v>0</v>
      </c>
      <c r="T57">
        <f t="shared" si="67"/>
        <v>0</v>
      </c>
      <c r="U57">
        <f t="shared" si="68"/>
        <v>0</v>
      </c>
      <c r="V57">
        <f t="shared" si="69"/>
        <v>0</v>
      </c>
      <c r="W57">
        <f t="shared" si="70"/>
        <v>0</v>
      </c>
      <c r="X57">
        <f t="shared" si="71"/>
        <v>0</v>
      </c>
      <c r="Y57">
        <f t="shared" si="72"/>
        <v>0</v>
      </c>
      <c r="AA57">
        <v>40777027</v>
      </c>
      <c r="AB57">
        <f t="shared" si="73"/>
        <v>14.58</v>
      </c>
      <c r="AC57">
        <f t="shared" si="74"/>
        <v>14.58</v>
      </c>
      <c r="AD57">
        <f t="shared" si="75"/>
        <v>0</v>
      </c>
      <c r="AE57">
        <f t="shared" si="76"/>
        <v>0</v>
      </c>
      <c r="AF57">
        <f t="shared" si="77"/>
        <v>0</v>
      </c>
      <c r="AG57">
        <f t="shared" si="78"/>
        <v>0</v>
      </c>
      <c r="AH57">
        <f t="shared" si="79"/>
        <v>0</v>
      </c>
      <c r="AI57">
        <f t="shared" si="80"/>
        <v>0</v>
      </c>
      <c r="AJ57">
        <f t="shared" si="81"/>
        <v>0</v>
      </c>
      <c r="AK57">
        <v>14.58</v>
      </c>
      <c r="AL57">
        <v>14.58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1</v>
      </c>
      <c r="AW57">
        <v>1</v>
      </c>
      <c r="AZ57">
        <v>1</v>
      </c>
      <c r="BA57">
        <v>1</v>
      </c>
      <c r="BB57">
        <v>1</v>
      </c>
      <c r="BC57">
        <v>1</v>
      </c>
      <c r="BD57" t="s">
        <v>3</v>
      </c>
      <c r="BE57" t="s">
        <v>3</v>
      </c>
      <c r="BF57" t="s">
        <v>3</v>
      </c>
      <c r="BG57" t="s">
        <v>3</v>
      </c>
      <c r="BH57">
        <v>3</v>
      </c>
      <c r="BI57">
        <v>1</v>
      </c>
      <c r="BJ57" t="s">
        <v>3</v>
      </c>
      <c r="BM57">
        <v>1100</v>
      </c>
      <c r="BN57">
        <v>0</v>
      </c>
      <c r="BO57" t="s">
        <v>3</v>
      </c>
      <c r="BP57">
        <v>0</v>
      </c>
      <c r="BQ57">
        <v>8</v>
      </c>
      <c r="BR57">
        <v>0</v>
      </c>
      <c r="BS57">
        <v>1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0</v>
      </c>
      <c r="CA57">
        <v>0</v>
      </c>
      <c r="CB57" t="s">
        <v>3</v>
      </c>
      <c r="CE57">
        <v>0</v>
      </c>
      <c r="CF57">
        <v>0</v>
      </c>
      <c r="CG57">
        <v>0</v>
      </c>
      <c r="CM57">
        <v>0</v>
      </c>
      <c r="CN57" t="s">
        <v>3</v>
      </c>
      <c r="CO57">
        <v>0</v>
      </c>
      <c r="CP57">
        <f t="shared" si="82"/>
        <v>6663.06</v>
      </c>
      <c r="CQ57">
        <f t="shared" si="83"/>
        <v>14.58</v>
      </c>
      <c r="CR57">
        <f t="shared" si="84"/>
        <v>0</v>
      </c>
      <c r="CS57">
        <f t="shared" si="85"/>
        <v>0</v>
      </c>
      <c r="CT57">
        <f t="shared" si="86"/>
        <v>0</v>
      </c>
      <c r="CU57">
        <f t="shared" si="87"/>
        <v>0</v>
      </c>
      <c r="CV57">
        <f t="shared" si="88"/>
        <v>0</v>
      </c>
      <c r="CW57">
        <f t="shared" si="89"/>
        <v>0</v>
      </c>
      <c r="CX57">
        <f t="shared" si="90"/>
        <v>0</v>
      </c>
      <c r="CY57">
        <f t="shared" si="91"/>
        <v>0</v>
      </c>
      <c r="CZ57">
        <f t="shared" si="92"/>
        <v>0</v>
      </c>
      <c r="DC57" t="s">
        <v>3</v>
      </c>
      <c r="DD57" t="s">
        <v>3</v>
      </c>
      <c r="DE57" t="s">
        <v>3</v>
      </c>
      <c r="DF57" t="s">
        <v>3</v>
      </c>
      <c r="DG57" t="s">
        <v>3</v>
      </c>
      <c r="DH57" t="s">
        <v>3</v>
      </c>
      <c r="DI57" t="s">
        <v>3</v>
      </c>
      <c r="DJ57" t="s">
        <v>3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1010</v>
      </c>
      <c r="DV57" t="s">
        <v>155</v>
      </c>
      <c r="DW57" t="s">
        <v>155</v>
      </c>
      <c r="DX57">
        <v>1</v>
      </c>
      <c r="DZ57" t="s">
        <v>3</v>
      </c>
      <c r="EA57" t="s">
        <v>3</v>
      </c>
      <c r="EB57" t="s">
        <v>3</v>
      </c>
      <c r="EC57" t="s">
        <v>3</v>
      </c>
      <c r="EE57">
        <v>40523445</v>
      </c>
      <c r="EF57">
        <v>8</v>
      </c>
      <c r="EG57" t="s">
        <v>148</v>
      </c>
      <c r="EH57">
        <v>0</v>
      </c>
      <c r="EI57" t="s">
        <v>3</v>
      </c>
      <c r="EJ57">
        <v>1</v>
      </c>
      <c r="EK57">
        <v>1100</v>
      </c>
      <c r="EL57" t="s">
        <v>149</v>
      </c>
      <c r="EM57" t="s">
        <v>150</v>
      </c>
      <c r="EO57" t="s">
        <v>3</v>
      </c>
      <c r="EQ57">
        <v>0</v>
      </c>
      <c r="ER57">
        <v>14.58</v>
      </c>
      <c r="ES57">
        <v>14.58</v>
      </c>
      <c r="ET57">
        <v>0</v>
      </c>
      <c r="EU57">
        <v>0</v>
      </c>
      <c r="EV57">
        <v>0</v>
      </c>
      <c r="EW57">
        <v>0</v>
      </c>
      <c r="EX57">
        <v>0</v>
      </c>
      <c r="EY57">
        <v>0</v>
      </c>
      <c r="EZ57">
        <v>5</v>
      </c>
      <c r="FC57">
        <v>1</v>
      </c>
      <c r="FD57">
        <v>18</v>
      </c>
      <c r="FF57">
        <v>17.5</v>
      </c>
      <c r="FQ57">
        <v>0</v>
      </c>
      <c r="FR57">
        <f t="shared" si="93"/>
        <v>0</v>
      </c>
      <c r="FS57">
        <v>0</v>
      </c>
      <c r="FX57">
        <v>0</v>
      </c>
      <c r="FY57">
        <v>0</v>
      </c>
      <c r="GA57" t="s">
        <v>172</v>
      </c>
      <c r="GD57">
        <v>1</v>
      </c>
      <c r="GF57">
        <v>-2111312899</v>
      </c>
      <c r="GG57">
        <v>2</v>
      </c>
      <c r="GH57">
        <v>3</v>
      </c>
      <c r="GI57">
        <v>-2</v>
      </c>
      <c r="GJ57">
        <v>0</v>
      </c>
      <c r="GK57">
        <v>0</v>
      </c>
      <c r="GL57">
        <f t="shared" si="94"/>
        <v>0</v>
      </c>
      <c r="GM57">
        <f t="shared" si="95"/>
        <v>6663.06</v>
      </c>
      <c r="GN57">
        <f t="shared" si="96"/>
        <v>6663.06</v>
      </c>
      <c r="GO57">
        <f t="shared" si="97"/>
        <v>0</v>
      </c>
      <c r="GP57">
        <f t="shared" si="98"/>
        <v>0</v>
      </c>
      <c r="GR57">
        <v>1</v>
      </c>
      <c r="GS57">
        <v>1</v>
      </c>
      <c r="GT57">
        <v>0</v>
      </c>
      <c r="GU57" t="s">
        <v>3</v>
      </c>
      <c r="GV57">
        <f t="shared" si="99"/>
        <v>0</v>
      </c>
      <c r="GW57">
        <v>1</v>
      </c>
      <c r="GX57">
        <f t="shared" si="100"/>
        <v>0</v>
      </c>
      <c r="HA57">
        <v>0</v>
      </c>
      <c r="HB57">
        <v>0</v>
      </c>
      <c r="HC57">
        <f t="shared" si="101"/>
        <v>0</v>
      </c>
      <c r="HE57" t="s">
        <v>152</v>
      </c>
      <c r="HF57" t="s">
        <v>152</v>
      </c>
      <c r="HM57" t="s">
        <v>3</v>
      </c>
      <c r="HN57" t="s">
        <v>3</v>
      </c>
      <c r="HO57" t="s">
        <v>3</v>
      </c>
      <c r="HP57" t="s">
        <v>3</v>
      </c>
      <c r="HQ57" t="s">
        <v>3</v>
      </c>
      <c r="IK57">
        <v>0</v>
      </c>
    </row>
    <row r="58" spans="1:245" x14ac:dyDescent="0.2">
      <c r="A58">
        <v>17</v>
      </c>
      <c r="B58">
        <v>1</v>
      </c>
      <c r="E58" t="s">
        <v>173</v>
      </c>
      <c r="F58" t="s">
        <v>146</v>
      </c>
      <c r="G58" t="s">
        <v>174</v>
      </c>
      <c r="H58" t="s">
        <v>155</v>
      </c>
      <c r="I58">
        <v>8</v>
      </c>
      <c r="J58">
        <v>0</v>
      </c>
      <c r="K58">
        <v>8</v>
      </c>
      <c r="O58">
        <f t="shared" si="62"/>
        <v>1666.64</v>
      </c>
      <c r="P58">
        <f t="shared" si="63"/>
        <v>1666.64</v>
      </c>
      <c r="Q58">
        <f t="shared" si="64"/>
        <v>0</v>
      </c>
      <c r="R58">
        <f t="shared" si="65"/>
        <v>0</v>
      </c>
      <c r="S58">
        <f t="shared" si="66"/>
        <v>0</v>
      </c>
      <c r="T58">
        <f t="shared" si="67"/>
        <v>0</v>
      </c>
      <c r="U58">
        <f t="shared" si="68"/>
        <v>0</v>
      </c>
      <c r="V58">
        <f t="shared" si="69"/>
        <v>0</v>
      </c>
      <c r="W58">
        <f t="shared" si="70"/>
        <v>0</v>
      </c>
      <c r="X58">
        <f t="shared" si="71"/>
        <v>0</v>
      </c>
      <c r="Y58">
        <f t="shared" si="72"/>
        <v>0</v>
      </c>
      <c r="AA58">
        <v>40777027</v>
      </c>
      <c r="AB58">
        <f t="shared" si="73"/>
        <v>208.33</v>
      </c>
      <c r="AC58">
        <f t="shared" si="74"/>
        <v>208.33</v>
      </c>
      <c r="AD58">
        <f t="shared" si="75"/>
        <v>0</v>
      </c>
      <c r="AE58">
        <f t="shared" si="76"/>
        <v>0</v>
      </c>
      <c r="AF58">
        <f t="shared" si="77"/>
        <v>0</v>
      </c>
      <c r="AG58">
        <f t="shared" si="78"/>
        <v>0</v>
      </c>
      <c r="AH58">
        <f t="shared" si="79"/>
        <v>0</v>
      </c>
      <c r="AI58">
        <f t="shared" si="80"/>
        <v>0</v>
      </c>
      <c r="AJ58">
        <f t="shared" si="81"/>
        <v>0</v>
      </c>
      <c r="AK58">
        <v>208.33</v>
      </c>
      <c r="AL58">
        <v>208.33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</v>
      </c>
      <c r="AW58">
        <v>1</v>
      </c>
      <c r="AZ58">
        <v>1</v>
      </c>
      <c r="BA58">
        <v>1</v>
      </c>
      <c r="BB58">
        <v>1</v>
      </c>
      <c r="BC58">
        <v>1</v>
      </c>
      <c r="BD58" t="s">
        <v>3</v>
      </c>
      <c r="BE58" t="s">
        <v>3</v>
      </c>
      <c r="BF58" t="s">
        <v>3</v>
      </c>
      <c r="BG58" t="s">
        <v>3</v>
      </c>
      <c r="BH58">
        <v>3</v>
      </c>
      <c r="BI58">
        <v>1</v>
      </c>
      <c r="BJ58" t="s">
        <v>3</v>
      </c>
      <c r="BM58">
        <v>1100</v>
      </c>
      <c r="BN58">
        <v>0</v>
      </c>
      <c r="BO58" t="s">
        <v>3</v>
      </c>
      <c r="BP58">
        <v>0</v>
      </c>
      <c r="BQ58">
        <v>8</v>
      </c>
      <c r="BR58">
        <v>0</v>
      </c>
      <c r="BS58">
        <v>1</v>
      </c>
      <c r="BT58">
        <v>1</v>
      </c>
      <c r="BU58">
        <v>1</v>
      </c>
      <c r="BV58">
        <v>1</v>
      </c>
      <c r="BW58">
        <v>1</v>
      </c>
      <c r="BX58">
        <v>1</v>
      </c>
      <c r="BY58" t="s">
        <v>3</v>
      </c>
      <c r="BZ58">
        <v>0</v>
      </c>
      <c r="CA58">
        <v>0</v>
      </c>
      <c r="CB58" t="s">
        <v>3</v>
      </c>
      <c r="CE58">
        <v>0</v>
      </c>
      <c r="CF58">
        <v>0</v>
      </c>
      <c r="CG58">
        <v>0</v>
      </c>
      <c r="CM58">
        <v>0</v>
      </c>
      <c r="CN58" t="s">
        <v>3</v>
      </c>
      <c r="CO58">
        <v>0</v>
      </c>
      <c r="CP58">
        <f t="shared" si="82"/>
        <v>1666.64</v>
      </c>
      <c r="CQ58">
        <f t="shared" si="83"/>
        <v>208.33</v>
      </c>
      <c r="CR58">
        <f t="shared" si="84"/>
        <v>0</v>
      </c>
      <c r="CS58">
        <f t="shared" si="85"/>
        <v>0</v>
      </c>
      <c r="CT58">
        <f t="shared" si="86"/>
        <v>0</v>
      </c>
      <c r="CU58">
        <f t="shared" si="87"/>
        <v>0</v>
      </c>
      <c r="CV58">
        <f t="shared" si="88"/>
        <v>0</v>
      </c>
      <c r="CW58">
        <f t="shared" si="89"/>
        <v>0</v>
      </c>
      <c r="CX58">
        <f t="shared" si="90"/>
        <v>0</v>
      </c>
      <c r="CY58">
        <f t="shared" si="91"/>
        <v>0</v>
      </c>
      <c r="CZ58">
        <f t="shared" si="92"/>
        <v>0</v>
      </c>
      <c r="DC58" t="s">
        <v>3</v>
      </c>
      <c r="DD58" t="s">
        <v>3</v>
      </c>
      <c r="DE58" t="s">
        <v>3</v>
      </c>
      <c r="DF58" t="s">
        <v>3</v>
      </c>
      <c r="DG58" t="s">
        <v>3</v>
      </c>
      <c r="DH58" t="s">
        <v>3</v>
      </c>
      <c r="DI58" t="s">
        <v>3</v>
      </c>
      <c r="DJ58" t="s">
        <v>3</v>
      </c>
      <c r="DK58" t="s">
        <v>3</v>
      </c>
      <c r="DL58" t="s">
        <v>3</v>
      </c>
      <c r="DM58" t="s">
        <v>3</v>
      </c>
      <c r="DN58">
        <v>0</v>
      </c>
      <c r="DO58">
        <v>0</v>
      </c>
      <c r="DP58">
        <v>1</v>
      </c>
      <c r="DQ58">
        <v>1</v>
      </c>
      <c r="DU58">
        <v>1010</v>
      </c>
      <c r="DV58" t="s">
        <v>155</v>
      </c>
      <c r="DW58" t="s">
        <v>155</v>
      </c>
      <c r="DX58">
        <v>1</v>
      </c>
      <c r="DZ58" t="s">
        <v>3</v>
      </c>
      <c r="EA58" t="s">
        <v>3</v>
      </c>
      <c r="EB58" t="s">
        <v>3</v>
      </c>
      <c r="EC58" t="s">
        <v>3</v>
      </c>
      <c r="EE58">
        <v>40523445</v>
      </c>
      <c r="EF58">
        <v>8</v>
      </c>
      <c r="EG58" t="s">
        <v>148</v>
      </c>
      <c r="EH58">
        <v>0</v>
      </c>
      <c r="EI58" t="s">
        <v>3</v>
      </c>
      <c r="EJ58">
        <v>1</v>
      </c>
      <c r="EK58">
        <v>1100</v>
      </c>
      <c r="EL58" t="s">
        <v>149</v>
      </c>
      <c r="EM58" t="s">
        <v>150</v>
      </c>
      <c r="EO58" t="s">
        <v>3</v>
      </c>
      <c r="EQ58">
        <v>0</v>
      </c>
      <c r="ER58">
        <v>208.33</v>
      </c>
      <c r="ES58">
        <v>208.33</v>
      </c>
      <c r="ET58">
        <v>0</v>
      </c>
      <c r="EU58">
        <v>0</v>
      </c>
      <c r="EV58">
        <v>0</v>
      </c>
      <c r="EW58">
        <v>0</v>
      </c>
      <c r="EX58">
        <v>0</v>
      </c>
      <c r="EY58">
        <v>0</v>
      </c>
      <c r="EZ58">
        <v>5</v>
      </c>
      <c r="FC58">
        <v>1</v>
      </c>
      <c r="FD58">
        <v>18</v>
      </c>
      <c r="FF58">
        <v>250</v>
      </c>
      <c r="FQ58">
        <v>0</v>
      </c>
      <c r="FR58">
        <f t="shared" si="93"/>
        <v>0</v>
      </c>
      <c r="FS58">
        <v>0</v>
      </c>
      <c r="FX58">
        <v>0</v>
      </c>
      <c r="FY58">
        <v>0</v>
      </c>
      <c r="GA58" t="s">
        <v>175</v>
      </c>
      <c r="GD58">
        <v>1</v>
      </c>
      <c r="GF58">
        <v>93968126</v>
      </c>
      <c r="GG58">
        <v>2</v>
      </c>
      <c r="GH58">
        <v>3</v>
      </c>
      <c r="GI58">
        <v>-2</v>
      </c>
      <c r="GJ58">
        <v>0</v>
      </c>
      <c r="GK58">
        <v>0</v>
      </c>
      <c r="GL58">
        <f t="shared" si="94"/>
        <v>0</v>
      </c>
      <c r="GM58">
        <f t="shared" si="95"/>
        <v>1666.64</v>
      </c>
      <c r="GN58">
        <f t="shared" si="96"/>
        <v>1666.64</v>
      </c>
      <c r="GO58">
        <f t="shared" si="97"/>
        <v>0</v>
      </c>
      <c r="GP58">
        <f t="shared" si="98"/>
        <v>0</v>
      </c>
      <c r="GR58">
        <v>1</v>
      </c>
      <c r="GS58">
        <v>1</v>
      </c>
      <c r="GT58">
        <v>0</v>
      </c>
      <c r="GU58" t="s">
        <v>3</v>
      </c>
      <c r="GV58">
        <f t="shared" si="99"/>
        <v>0</v>
      </c>
      <c r="GW58">
        <v>1</v>
      </c>
      <c r="GX58">
        <f t="shared" si="100"/>
        <v>0</v>
      </c>
      <c r="HA58">
        <v>0</v>
      </c>
      <c r="HB58">
        <v>0</v>
      </c>
      <c r="HC58">
        <f t="shared" si="101"/>
        <v>0</v>
      </c>
      <c r="HE58" t="s">
        <v>152</v>
      </c>
      <c r="HF58" t="s">
        <v>152</v>
      </c>
      <c r="HM58" t="s">
        <v>3</v>
      </c>
      <c r="HN58" t="s">
        <v>3</v>
      </c>
      <c r="HO58" t="s">
        <v>3</v>
      </c>
      <c r="HP58" t="s">
        <v>3</v>
      </c>
      <c r="HQ58" t="s">
        <v>3</v>
      </c>
      <c r="IK58">
        <v>0</v>
      </c>
    </row>
    <row r="59" spans="1:245" x14ac:dyDescent="0.2">
      <c r="A59">
        <v>17</v>
      </c>
      <c r="B59">
        <v>1</v>
      </c>
      <c r="E59" t="s">
        <v>176</v>
      </c>
      <c r="F59" t="s">
        <v>146</v>
      </c>
      <c r="G59" t="s">
        <v>177</v>
      </c>
      <c r="H59" t="s">
        <v>155</v>
      </c>
      <c r="I59">
        <v>24</v>
      </c>
      <c r="J59">
        <v>0</v>
      </c>
      <c r="K59">
        <v>24</v>
      </c>
      <c r="O59">
        <f t="shared" si="62"/>
        <v>8659.92</v>
      </c>
      <c r="P59">
        <f t="shared" si="63"/>
        <v>8659.92</v>
      </c>
      <c r="Q59">
        <f t="shared" si="64"/>
        <v>0</v>
      </c>
      <c r="R59">
        <f t="shared" si="65"/>
        <v>0</v>
      </c>
      <c r="S59">
        <f t="shared" si="66"/>
        <v>0</v>
      </c>
      <c r="T59">
        <f t="shared" si="67"/>
        <v>0</v>
      </c>
      <c r="U59">
        <f t="shared" si="68"/>
        <v>0</v>
      </c>
      <c r="V59">
        <f t="shared" si="69"/>
        <v>0</v>
      </c>
      <c r="W59">
        <f t="shared" si="70"/>
        <v>0</v>
      </c>
      <c r="X59">
        <f t="shared" si="71"/>
        <v>0</v>
      </c>
      <c r="Y59">
        <f t="shared" si="72"/>
        <v>0</v>
      </c>
      <c r="AA59">
        <v>40777027</v>
      </c>
      <c r="AB59">
        <f t="shared" si="73"/>
        <v>360.83</v>
      </c>
      <c r="AC59">
        <f t="shared" si="74"/>
        <v>360.83</v>
      </c>
      <c r="AD59">
        <f t="shared" si="75"/>
        <v>0</v>
      </c>
      <c r="AE59">
        <f t="shared" si="76"/>
        <v>0</v>
      </c>
      <c r="AF59">
        <f t="shared" si="77"/>
        <v>0</v>
      </c>
      <c r="AG59">
        <f t="shared" si="78"/>
        <v>0</v>
      </c>
      <c r="AH59">
        <f t="shared" si="79"/>
        <v>0</v>
      </c>
      <c r="AI59">
        <f t="shared" si="80"/>
        <v>0</v>
      </c>
      <c r="AJ59">
        <f t="shared" si="81"/>
        <v>0</v>
      </c>
      <c r="AK59">
        <v>360.83</v>
      </c>
      <c r="AL59">
        <v>360.83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1</v>
      </c>
      <c r="AW59">
        <v>1</v>
      </c>
      <c r="AZ59">
        <v>1</v>
      </c>
      <c r="BA59">
        <v>1</v>
      </c>
      <c r="BB59">
        <v>1</v>
      </c>
      <c r="BC59">
        <v>1</v>
      </c>
      <c r="BD59" t="s">
        <v>3</v>
      </c>
      <c r="BE59" t="s">
        <v>3</v>
      </c>
      <c r="BF59" t="s">
        <v>3</v>
      </c>
      <c r="BG59" t="s">
        <v>3</v>
      </c>
      <c r="BH59">
        <v>3</v>
      </c>
      <c r="BI59">
        <v>1</v>
      </c>
      <c r="BJ59" t="s">
        <v>3</v>
      </c>
      <c r="BM59">
        <v>1100</v>
      </c>
      <c r="BN59">
        <v>0</v>
      </c>
      <c r="BO59" t="s">
        <v>3</v>
      </c>
      <c r="BP59">
        <v>0</v>
      </c>
      <c r="BQ59">
        <v>8</v>
      </c>
      <c r="BR59">
        <v>0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0</v>
      </c>
      <c r="CA59">
        <v>0</v>
      </c>
      <c r="CB59" t="s">
        <v>3</v>
      </c>
      <c r="CE59">
        <v>0</v>
      </c>
      <c r="CF59">
        <v>0</v>
      </c>
      <c r="CG59">
        <v>0</v>
      </c>
      <c r="CM59">
        <v>0</v>
      </c>
      <c r="CN59" t="s">
        <v>3</v>
      </c>
      <c r="CO59">
        <v>0</v>
      </c>
      <c r="CP59">
        <f t="shared" si="82"/>
        <v>8659.92</v>
      </c>
      <c r="CQ59">
        <f t="shared" si="83"/>
        <v>360.83</v>
      </c>
      <c r="CR59">
        <f t="shared" si="84"/>
        <v>0</v>
      </c>
      <c r="CS59">
        <f t="shared" si="85"/>
        <v>0</v>
      </c>
      <c r="CT59">
        <f t="shared" si="86"/>
        <v>0</v>
      </c>
      <c r="CU59">
        <f t="shared" si="87"/>
        <v>0</v>
      </c>
      <c r="CV59">
        <f t="shared" si="88"/>
        <v>0</v>
      </c>
      <c r="CW59">
        <f t="shared" si="89"/>
        <v>0</v>
      </c>
      <c r="CX59">
        <f t="shared" si="90"/>
        <v>0</v>
      </c>
      <c r="CY59">
        <f t="shared" si="91"/>
        <v>0</v>
      </c>
      <c r="CZ59">
        <f t="shared" si="92"/>
        <v>0</v>
      </c>
      <c r="DC59" t="s">
        <v>3</v>
      </c>
      <c r="DD59" t="s">
        <v>3</v>
      </c>
      <c r="DE59" t="s">
        <v>3</v>
      </c>
      <c r="DF59" t="s">
        <v>3</v>
      </c>
      <c r="DG59" t="s">
        <v>3</v>
      </c>
      <c r="DH59" t="s">
        <v>3</v>
      </c>
      <c r="DI59" t="s">
        <v>3</v>
      </c>
      <c r="DJ59" t="s">
        <v>3</v>
      </c>
      <c r="DK59" t="s">
        <v>3</v>
      </c>
      <c r="DL59" t="s">
        <v>3</v>
      </c>
      <c r="DM59" t="s">
        <v>3</v>
      </c>
      <c r="DN59">
        <v>0</v>
      </c>
      <c r="DO59">
        <v>0</v>
      </c>
      <c r="DP59">
        <v>1</v>
      </c>
      <c r="DQ59">
        <v>1</v>
      </c>
      <c r="DU59">
        <v>1010</v>
      </c>
      <c r="DV59" t="s">
        <v>155</v>
      </c>
      <c r="DW59" t="s">
        <v>155</v>
      </c>
      <c r="DX59">
        <v>1</v>
      </c>
      <c r="DZ59" t="s">
        <v>3</v>
      </c>
      <c r="EA59" t="s">
        <v>3</v>
      </c>
      <c r="EB59" t="s">
        <v>3</v>
      </c>
      <c r="EC59" t="s">
        <v>3</v>
      </c>
      <c r="EE59">
        <v>40523445</v>
      </c>
      <c r="EF59">
        <v>8</v>
      </c>
      <c r="EG59" t="s">
        <v>148</v>
      </c>
      <c r="EH59">
        <v>0</v>
      </c>
      <c r="EI59" t="s">
        <v>3</v>
      </c>
      <c r="EJ59">
        <v>1</v>
      </c>
      <c r="EK59">
        <v>1100</v>
      </c>
      <c r="EL59" t="s">
        <v>149</v>
      </c>
      <c r="EM59" t="s">
        <v>150</v>
      </c>
      <c r="EO59" t="s">
        <v>3</v>
      </c>
      <c r="EQ59">
        <v>0</v>
      </c>
      <c r="ER59">
        <v>360.83</v>
      </c>
      <c r="ES59">
        <v>360.83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5</v>
      </c>
      <c r="FC59">
        <v>1</v>
      </c>
      <c r="FD59">
        <v>18</v>
      </c>
      <c r="FF59">
        <v>433</v>
      </c>
      <c r="FQ59">
        <v>0</v>
      </c>
      <c r="FR59">
        <f t="shared" si="93"/>
        <v>0</v>
      </c>
      <c r="FS59">
        <v>0</v>
      </c>
      <c r="FX59">
        <v>0</v>
      </c>
      <c r="FY59">
        <v>0</v>
      </c>
      <c r="GA59" t="s">
        <v>178</v>
      </c>
      <c r="GD59">
        <v>1</v>
      </c>
      <c r="GF59">
        <v>-706445317</v>
      </c>
      <c r="GG59">
        <v>2</v>
      </c>
      <c r="GH59">
        <v>3</v>
      </c>
      <c r="GI59">
        <v>-2</v>
      </c>
      <c r="GJ59">
        <v>0</v>
      </c>
      <c r="GK59">
        <v>0</v>
      </c>
      <c r="GL59">
        <f t="shared" si="94"/>
        <v>0</v>
      </c>
      <c r="GM59">
        <f t="shared" si="95"/>
        <v>8659.92</v>
      </c>
      <c r="GN59">
        <f t="shared" si="96"/>
        <v>8659.92</v>
      </c>
      <c r="GO59">
        <f t="shared" si="97"/>
        <v>0</v>
      </c>
      <c r="GP59">
        <f t="shared" si="98"/>
        <v>0</v>
      </c>
      <c r="GR59">
        <v>1</v>
      </c>
      <c r="GS59">
        <v>1</v>
      </c>
      <c r="GT59">
        <v>0</v>
      </c>
      <c r="GU59" t="s">
        <v>3</v>
      </c>
      <c r="GV59">
        <f t="shared" si="99"/>
        <v>0</v>
      </c>
      <c r="GW59">
        <v>1</v>
      </c>
      <c r="GX59">
        <f t="shared" si="100"/>
        <v>0</v>
      </c>
      <c r="HA59">
        <v>0</v>
      </c>
      <c r="HB59">
        <v>0</v>
      </c>
      <c r="HC59">
        <f t="shared" si="101"/>
        <v>0</v>
      </c>
      <c r="HE59" t="s">
        <v>152</v>
      </c>
      <c r="HF59" t="s">
        <v>152</v>
      </c>
      <c r="HM59" t="s">
        <v>3</v>
      </c>
      <c r="HN59" t="s">
        <v>3</v>
      </c>
      <c r="HO59" t="s">
        <v>3</v>
      </c>
      <c r="HP59" t="s">
        <v>3</v>
      </c>
      <c r="HQ59" t="s">
        <v>3</v>
      </c>
      <c r="IK59">
        <v>0</v>
      </c>
    </row>
    <row r="60" spans="1:245" x14ac:dyDescent="0.2">
      <c r="A60">
        <v>17</v>
      </c>
      <c r="B60">
        <v>1</v>
      </c>
      <c r="E60" t="s">
        <v>179</v>
      </c>
      <c r="F60" t="s">
        <v>146</v>
      </c>
      <c r="G60" t="s">
        <v>180</v>
      </c>
      <c r="H60" t="s">
        <v>119</v>
      </c>
      <c r="I60">
        <v>0.01</v>
      </c>
      <c r="J60">
        <v>0</v>
      </c>
      <c r="K60">
        <v>0.01</v>
      </c>
      <c r="O60">
        <f t="shared" si="62"/>
        <v>666.67</v>
      </c>
      <c r="P60">
        <f t="shared" si="63"/>
        <v>666.67</v>
      </c>
      <c r="Q60">
        <f t="shared" si="64"/>
        <v>0</v>
      </c>
      <c r="R60">
        <f t="shared" si="65"/>
        <v>0</v>
      </c>
      <c r="S60">
        <f t="shared" si="66"/>
        <v>0</v>
      </c>
      <c r="T60">
        <f t="shared" si="67"/>
        <v>0</v>
      </c>
      <c r="U60">
        <f t="shared" si="68"/>
        <v>0</v>
      </c>
      <c r="V60">
        <f t="shared" si="69"/>
        <v>0</v>
      </c>
      <c r="W60">
        <f t="shared" si="70"/>
        <v>0</v>
      </c>
      <c r="X60">
        <f t="shared" si="71"/>
        <v>0</v>
      </c>
      <c r="Y60">
        <f t="shared" si="72"/>
        <v>0</v>
      </c>
      <c r="AA60">
        <v>40777027</v>
      </c>
      <c r="AB60">
        <f t="shared" si="73"/>
        <v>66666.67</v>
      </c>
      <c r="AC60">
        <f t="shared" si="74"/>
        <v>66666.67</v>
      </c>
      <c r="AD60">
        <f t="shared" si="75"/>
        <v>0</v>
      </c>
      <c r="AE60">
        <f t="shared" si="76"/>
        <v>0</v>
      </c>
      <c r="AF60">
        <f t="shared" si="77"/>
        <v>0</v>
      </c>
      <c r="AG60">
        <f t="shared" si="78"/>
        <v>0</v>
      </c>
      <c r="AH60">
        <f t="shared" si="79"/>
        <v>0</v>
      </c>
      <c r="AI60">
        <f t="shared" si="80"/>
        <v>0</v>
      </c>
      <c r="AJ60">
        <f t="shared" si="81"/>
        <v>0</v>
      </c>
      <c r="AK60">
        <v>66666.67</v>
      </c>
      <c r="AL60">
        <v>66666.67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1</v>
      </c>
      <c r="AW60">
        <v>1</v>
      </c>
      <c r="AZ60">
        <v>1</v>
      </c>
      <c r="BA60">
        <v>1</v>
      </c>
      <c r="BB60">
        <v>1</v>
      </c>
      <c r="BC60">
        <v>1</v>
      </c>
      <c r="BD60" t="s">
        <v>3</v>
      </c>
      <c r="BE60" t="s">
        <v>3</v>
      </c>
      <c r="BF60" t="s">
        <v>3</v>
      </c>
      <c r="BG60" t="s">
        <v>3</v>
      </c>
      <c r="BH60">
        <v>3</v>
      </c>
      <c r="BI60">
        <v>1</v>
      </c>
      <c r="BJ60" t="s">
        <v>3</v>
      </c>
      <c r="BM60">
        <v>1100</v>
      </c>
      <c r="BN60">
        <v>0</v>
      </c>
      <c r="BO60" t="s">
        <v>3</v>
      </c>
      <c r="BP60">
        <v>0</v>
      </c>
      <c r="BQ60">
        <v>8</v>
      </c>
      <c r="BR60">
        <v>0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 t="s">
        <v>3</v>
      </c>
      <c r="BZ60">
        <v>0</v>
      </c>
      <c r="CA60">
        <v>0</v>
      </c>
      <c r="CB60" t="s">
        <v>3</v>
      </c>
      <c r="CE60">
        <v>0</v>
      </c>
      <c r="CF60">
        <v>0</v>
      </c>
      <c r="CG60">
        <v>0</v>
      </c>
      <c r="CM60">
        <v>0</v>
      </c>
      <c r="CN60" t="s">
        <v>3</v>
      </c>
      <c r="CO60">
        <v>0</v>
      </c>
      <c r="CP60">
        <f t="shared" si="82"/>
        <v>666.67</v>
      </c>
      <c r="CQ60">
        <f t="shared" si="83"/>
        <v>66666.67</v>
      </c>
      <c r="CR60">
        <f t="shared" si="84"/>
        <v>0</v>
      </c>
      <c r="CS60">
        <f t="shared" si="85"/>
        <v>0</v>
      </c>
      <c r="CT60">
        <f t="shared" si="86"/>
        <v>0</v>
      </c>
      <c r="CU60">
        <f t="shared" si="87"/>
        <v>0</v>
      </c>
      <c r="CV60">
        <f t="shared" si="88"/>
        <v>0</v>
      </c>
      <c r="CW60">
        <f t="shared" si="89"/>
        <v>0</v>
      </c>
      <c r="CX60">
        <f t="shared" si="90"/>
        <v>0</v>
      </c>
      <c r="CY60">
        <f t="shared" si="91"/>
        <v>0</v>
      </c>
      <c r="CZ60">
        <f t="shared" si="92"/>
        <v>0</v>
      </c>
      <c r="DC60" t="s">
        <v>3</v>
      </c>
      <c r="DD60" t="s">
        <v>3</v>
      </c>
      <c r="DE60" t="s">
        <v>3</v>
      </c>
      <c r="DF60" t="s">
        <v>3</v>
      </c>
      <c r="DG60" t="s">
        <v>3</v>
      </c>
      <c r="DH60" t="s">
        <v>3</v>
      </c>
      <c r="DI60" t="s">
        <v>3</v>
      </c>
      <c r="DJ60" t="s">
        <v>3</v>
      </c>
      <c r="DK60" t="s">
        <v>3</v>
      </c>
      <c r="DL60" t="s">
        <v>3</v>
      </c>
      <c r="DM60" t="s">
        <v>3</v>
      </c>
      <c r="DN60">
        <v>0</v>
      </c>
      <c r="DO60">
        <v>0</v>
      </c>
      <c r="DP60">
        <v>1</v>
      </c>
      <c r="DQ60">
        <v>1</v>
      </c>
      <c r="DU60">
        <v>1009</v>
      </c>
      <c r="DV60" t="s">
        <v>119</v>
      </c>
      <c r="DW60" t="s">
        <v>119</v>
      </c>
      <c r="DX60">
        <v>1000</v>
      </c>
      <c r="DZ60" t="s">
        <v>3</v>
      </c>
      <c r="EA60" t="s">
        <v>3</v>
      </c>
      <c r="EB60" t="s">
        <v>3</v>
      </c>
      <c r="EC60" t="s">
        <v>3</v>
      </c>
      <c r="EE60">
        <v>40523445</v>
      </c>
      <c r="EF60">
        <v>8</v>
      </c>
      <c r="EG60" t="s">
        <v>148</v>
      </c>
      <c r="EH60">
        <v>0</v>
      </c>
      <c r="EI60" t="s">
        <v>3</v>
      </c>
      <c r="EJ60">
        <v>1</v>
      </c>
      <c r="EK60">
        <v>1100</v>
      </c>
      <c r="EL60" t="s">
        <v>149</v>
      </c>
      <c r="EM60" t="s">
        <v>150</v>
      </c>
      <c r="EO60" t="s">
        <v>3</v>
      </c>
      <c r="EQ60">
        <v>0</v>
      </c>
      <c r="ER60">
        <v>66666.67</v>
      </c>
      <c r="ES60">
        <v>66666.67</v>
      </c>
      <c r="ET60">
        <v>0</v>
      </c>
      <c r="EU60">
        <v>0</v>
      </c>
      <c r="EV60">
        <v>0</v>
      </c>
      <c r="EW60">
        <v>0</v>
      </c>
      <c r="EX60">
        <v>0</v>
      </c>
      <c r="EY60">
        <v>0</v>
      </c>
      <c r="EZ60">
        <v>5</v>
      </c>
      <c r="FC60">
        <v>1</v>
      </c>
      <c r="FD60">
        <v>18</v>
      </c>
      <c r="FF60">
        <v>80000</v>
      </c>
      <c r="FQ60">
        <v>0</v>
      </c>
      <c r="FR60">
        <f t="shared" si="93"/>
        <v>0</v>
      </c>
      <c r="FS60">
        <v>0</v>
      </c>
      <c r="FX60">
        <v>0</v>
      </c>
      <c r="FY60">
        <v>0</v>
      </c>
      <c r="GA60" t="s">
        <v>181</v>
      </c>
      <c r="GD60">
        <v>1</v>
      </c>
      <c r="GF60">
        <v>-1045305699</v>
      </c>
      <c r="GG60">
        <v>2</v>
      </c>
      <c r="GH60">
        <v>3</v>
      </c>
      <c r="GI60">
        <v>-2</v>
      </c>
      <c r="GJ60">
        <v>0</v>
      </c>
      <c r="GK60">
        <v>0</v>
      </c>
      <c r="GL60">
        <f t="shared" si="94"/>
        <v>0</v>
      </c>
      <c r="GM60">
        <f t="shared" si="95"/>
        <v>666.67</v>
      </c>
      <c r="GN60">
        <f t="shared" si="96"/>
        <v>666.67</v>
      </c>
      <c r="GO60">
        <f t="shared" si="97"/>
        <v>0</v>
      </c>
      <c r="GP60">
        <f t="shared" si="98"/>
        <v>0</v>
      </c>
      <c r="GR60">
        <v>1</v>
      </c>
      <c r="GS60">
        <v>1</v>
      </c>
      <c r="GT60">
        <v>0</v>
      </c>
      <c r="GU60" t="s">
        <v>3</v>
      </c>
      <c r="GV60">
        <f t="shared" si="99"/>
        <v>0</v>
      </c>
      <c r="GW60">
        <v>1</v>
      </c>
      <c r="GX60">
        <f t="shared" si="100"/>
        <v>0</v>
      </c>
      <c r="HA60">
        <v>0</v>
      </c>
      <c r="HB60">
        <v>0</v>
      </c>
      <c r="HC60">
        <f t="shared" si="101"/>
        <v>0</v>
      </c>
      <c r="HE60" t="s">
        <v>152</v>
      </c>
      <c r="HF60" t="s">
        <v>152</v>
      </c>
      <c r="HM60" t="s">
        <v>3</v>
      </c>
      <c r="HN60" t="s">
        <v>3</v>
      </c>
      <c r="HO60" t="s">
        <v>3</v>
      </c>
      <c r="HP60" t="s">
        <v>3</v>
      </c>
      <c r="HQ60" t="s">
        <v>3</v>
      </c>
      <c r="IK60">
        <v>0</v>
      </c>
    </row>
    <row r="62" spans="1:245" x14ac:dyDescent="0.2">
      <c r="A62" s="2">
        <v>51</v>
      </c>
      <c r="B62" s="2">
        <f>B47</f>
        <v>1</v>
      </c>
      <c r="C62" s="2">
        <f>A47</f>
        <v>4</v>
      </c>
      <c r="D62" s="2">
        <f>ROW(A47)</f>
        <v>47</v>
      </c>
      <c r="E62" s="2"/>
      <c r="F62" s="2" t="str">
        <f>IF(F47&lt;&gt;"",F47,"")</f>
        <v>Новый раздел</v>
      </c>
      <c r="G62" s="2" t="str">
        <f>IF(G47&lt;&gt;"",G47,"")</f>
        <v>Материалы</v>
      </c>
      <c r="H62" s="2">
        <v>0</v>
      </c>
      <c r="I62" s="2"/>
      <c r="J62" s="2"/>
      <c r="K62" s="2"/>
      <c r="L62" s="2"/>
      <c r="M62" s="2"/>
      <c r="N62" s="2"/>
      <c r="O62" s="2">
        <f t="shared" ref="O62:T62" si="102">ROUND(AB62,2)</f>
        <v>439824.36</v>
      </c>
      <c r="P62" s="2">
        <f t="shared" si="102"/>
        <v>439824.36</v>
      </c>
      <c r="Q62" s="2">
        <f t="shared" si="102"/>
        <v>0</v>
      </c>
      <c r="R62" s="2">
        <f t="shared" si="102"/>
        <v>0</v>
      </c>
      <c r="S62" s="2">
        <f t="shared" si="102"/>
        <v>0</v>
      </c>
      <c r="T62" s="2">
        <f t="shared" si="102"/>
        <v>0</v>
      </c>
      <c r="U62" s="2">
        <f>AH62</f>
        <v>0</v>
      </c>
      <c r="V62" s="2">
        <f>AI62</f>
        <v>0</v>
      </c>
      <c r="W62" s="2">
        <f>ROUND(AJ62,2)</f>
        <v>0</v>
      </c>
      <c r="X62" s="2">
        <f>ROUND(AK62,2)</f>
        <v>0</v>
      </c>
      <c r="Y62" s="2">
        <f>ROUND(AL62,2)</f>
        <v>0</v>
      </c>
      <c r="Z62" s="2"/>
      <c r="AA62" s="2"/>
      <c r="AB62" s="2">
        <f>ROUND(SUMIF(AA51:AA60,"=40777027",O51:O60),2)</f>
        <v>439824.36</v>
      </c>
      <c r="AC62" s="2">
        <f>ROUND(SUMIF(AA51:AA60,"=40777027",P51:P60),2)</f>
        <v>439824.36</v>
      </c>
      <c r="AD62" s="2">
        <f>ROUND(SUMIF(AA51:AA60,"=40777027",Q51:Q60),2)</f>
        <v>0</v>
      </c>
      <c r="AE62" s="2">
        <f>ROUND(SUMIF(AA51:AA60,"=40777027",R51:R60),2)</f>
        <v>0</v>
      </c>
      <c r="AF62" s="2">
        <f>ROUND(SUMIF(AA51:AA60,"=40777027",S51:S60),2)</f>
        <v>0</v>
      </c>
      <c r="AG62" s="2">
        <f>ROUND(SUMIF(AA51:AA60,"=40777027",T51:T60),2)</f>
        <v>0</v>
      </c>
      <c r="AH62" s="2">
        <f>SUMIF(AA51:AA60,"=40777027",U51:U60)</f>
        <v>0</v>
      </c>
      <c r="AI62" s="2">
        <f>SUMIF(AA51:AA60,"=40777027",V51:V60)</f>
        <v>0</v>
      </c>
      <c r="AJ62" s="2">
        <f>ROUND(SUMIF(AA51:AA60,"=40777027",W51:W60),2)</f>
        <v>0</v>
      </c>
      <c r="AK62" s="2">
        <f>ROUND(SUMIF(AA51:AA60,"=40777027",X51:X60),2)</f>
        <v>0</v>
      </c>
      <c r="AL62" s="2">
        <f>ROUND(SUMIF(AA51:AA60,"=40777027",Y51:Y60),2)</f>
        <v>0</v>
      </c>
      <c r="AM62" s="2"/>
      <c r="AN62" s="2"/>
      <c r="AO62" s="2">
        <f t="shared" ref="AO62:BD62" si="103">ROUND(BX62,2)</f>
        <v>0</v>
      </c>
      <c r="AP62" s="2">
        <f t="shared" si="103"/>
        <v>0</v>
      </c>
      <c r="AQ62" s="2">
        <f t="shared" si="103"/>
        <v>0</v>
      </c>
      <c r="AR62" s="2">
        <f t="shared" si="103"/>
        <v>439824.36</v>
      </c>
      <c r="AS62" s="2">
        <f t="shared" si="103"/>
        <v>439824.36</v>
      </c>
      <c r="AT62" s="2">
        <f t="shared" si="103"/>
        <v>0</v>
      </c>
      <c r="AU62" s="2">
        <f t="shared" si="103"/>
        <v>0</v>
      </c>
      <c r="AV62" s="2">
        <f t="shared" si="103"/>
        <v>439824.36</v>
      </c>
      <c r="AW62" s="2">
        <f t="shared" si="103"/>
        <v>439824.36</v>
      </c>
      <c r="AX62" s="2">
        <f t="shared" si="103"/>
        <v>0</v>
      </c>
      <c r="AY62" s="2">
        <f t="shared" si="103"/>
        <v>439824.36</v>
      </c>
      <c r="AZ62" s="2">
        <f t="shared" si="103"/>
        <v>0</v>
      </c>
      <c r="BA62" s="2">
        <f t="shared" si="103"/>
        <v>0</v>
      </c>
      <c r="BB62" s="2">
        <f t="shared" si="103"/>
        <v>0</v>
      </c>
      <c r="BC62" s="2">
        <f t="shared" si="103"/>
        <v>0</v>
      </c>
      <c r="BD62" s="2">
        <f t="shared" si="103"/>
        <v>0</v>
      </c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>
        <f>ROUND(SUMIF(AA51:AA60,"=40777027",FQ51:FQ60),2)</f>
        <v>0</v>
      </c>
      <c r="BY62" s="2">
        <f>ROUND(SUMIF(AA51:AA60,"=40777027",FR51:FR60),2)</f>
        <v>0</v>
      </c>
      <c r="BZ62" s="2">
        <f>ROUND(SUMIF(AA51:AA60,"=40777027",GL51:GL60),2)</f>
        <v>0</v>
      </c>
      <c r="CA62" s="2">
        <f>ROUND(SUMIF(AA51:AA60,"=40777027",GM51:GM60),2)</f>
        <v>439824.36</v>
      </c>
      <c r="CB62" s="2">
        <f>ROUND(SUMIF(AA51:AA60,"=40777027",GN51:GN60),2)</f>
        <v>439824.36</v>
      </c>
      <c r="CC62" s="2">
        <f>ROUND(SUMIF(AA51:AA60,"=40777027",GO51:GO60),2)</f>
        <v>0</v>
      </c>
      <c r="CD62" s="2">
        <f>ROUND(SUMIF(AA51:AA60,"=40777027",GP51:GP60),2)</f>
        <v>0</v>
      </c>
      <c r="CE62" s="2">
        <f>AC62-BX62</f>
        <v>439824.36</v>
      </c>
      <c r="CF62" s="2">
        <f>AC62-BY62</f>
        <v>439824.36</v>
      </c>
      <c r="CG62" s="2">
        <f>BX62-BZ62</f>
        <v>0</v>
      </c>
      <c r="CH62" s="2">
        <f>AC62-BX62-BY62+BZ62</f>
        <v>439824.36</v>
      </c>
      <c r="CI62" s="2">
        <f>BY62-BZ62</f>
        <v>0</v>
      </c>
      <c r="CJ62" s="2">
        <f>ROUND(SUMIF(AA51:AA60,"=40777027",GX51:GX60),2)</f>
        <v>0</v>
      </c>
      <c r="CK62" s="2">
        <f>ROUND(SUMIF(AA51:AA60,"=40777027",GY51:GY60),2)</f>
        <v>0</v>
      </c>
      <c r="CL62" s="2">
        <f>ROUND(SUMIF(AA51:AA60,"=40777027",GZ51:GZ60),2)</f>
        <v>0</v>
      </c>
      <c r="CM62" s="2">
        <f>ROUND(SUMIF(AA51:AA60,"=40777027",HD51:HD60),2)</f>
        <v>0</v>
      </c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>
        <v>0</v>
      </c>
    </row>
    <row r="64" spans="1:245" x14ac:dyDescent="0.2">
      <c r="A64" s="4">
        <v>50</v>
      </c>
      <c r="B64" s="4">
        <v>0</v>
      </c>
      <c r="C64" s="4">
        <v>0</v>
      </c>
      <c r="D64" s="4">
        <v>1</v>
      </c>
      <c r="E64" s="4">
        <v>201</v>
      </c>
      <c r="F64" s="4">
        <f>ROUND(Source!O62,O64)</f>
        <v>439824.36</v>
      </c>
      <c r="G64" s="4" t="s">
        <v>182</v>
      </c>
      <c r="H64" s="4" t="s">
        <v>183</v>
      </c>
      <c r="I64" s="4"/>
      <c r="J64" s="4"/>
      <c r="K64" s="4">
        <v>201</v>
      </c>
      <c r="L64" s="4">
        <v>1</v>
      </c>
      <c r="M64" s="4">
        <v>3</v>
      </c>
      <c r="N64" s="4" t="s">
        <v>3</v>
      </c>
      <c r="O64" s="4">
        <v>2</v>
      </c>
      <c r="P64" s="4"/>
      <c r="Q64" s="4"/>
      <c r="R64" s="4"/>
      <c r="S64" s="4"/>
      <c r="T64" s="4"/>
      <c r="U64" s="4"/>
      <c r="V64" s="4"/>
      <c r="W64" s="4">
        <v>439824.36</v>
      </c>
      <c r="X64" s="4">
        <v>1</v>
      </c>
      <c r="Y64" s="4">
        <v>439824.36</v>
      </c>
      <c r="Z64" s="4"/>
      <c r="AA64" s="4"/>
      <c r="AB64" s="4"/>
    </row>
    <row r="65" spans="1:28" x14ac:dyDescent="0.2">
      <c r="A65" s="4">
        <v>50</v>
      </c>
      <c r="B65" s="4">
        <v>0</v>
      </c>
      <c r="C65" s="4">
        <v>0</v>
      </c>
      <c r="D65" s="4">
        <v>1</v>
      </c>
      <c r="E65" s="4">
        <v>202</v>
      </c>
      <c r="F65" s="4">
        <f>ROUND(Source!P62,O65)</f>
        <v>439824.36</v>
      </c>
      <c r="G65" s="4" t="s">
        <v>184</v>
      </c>
      <c r="H65" s="4" t="s">
        <v>185</v>
      </c>
      <c r="I65" s="4"/>
      <c r="J65" s="4"/>
      <c r="K65" s="4">
        <v>202</v>
      </c>
      <c r="L65" s="4">
        <v>2</v>
      </c>
      <c r="M65" s="4">
        <v>3</v>
      </c>
      <c r="N65" s="4" t="s">
        <v>3</v>
      </c>
      <c r="O65" s="4">
        <v>2</v>
      </c>
      <c r="P65" s="4"/>
      <c r="Q65" s="4"/>
      <c r="R65" s="4"/>
      <c r="S65" s="4"/>
      <c r="T65" s="4"/>
      <c r="U65" s="4"/>
      <c r="V65" s="4"/>
      <c r="W65" s="4">
        <v>439824.36</v>
      </c>
      <c r="X65" s="4">
        <v>1</v>
      </c>
      <c r="Y65" s="4">
        <v>439824.36</v>
      </c>
      <c r="Z65" s="4"/>
      <c r="AA65" s="4"/>
      <c r="AB65" s="4"/>
    </row>
    <row r="66" spans="1:28" x14ac:dyDescent="0.2">
      <c r="A66" s="4">
        <v>50</v>
      </c>
      <c r="B66" s="4">
        <v>0</v>
      </c>
      <c r="C66" s="4">
        <v>0</v>
      </c>
      <c r="D66" s="4">
        <v>1</v>
      </c>
      <c r="E66" s="4">
        <v>222</v>
      </c>
      <c r="F66" s="4">
        <f>ROUND(Source!AO62,O66)</f>
        <v>0</v>
      </c>
      <c r="G66" s="4" t="s">
        <v>186</v>
      </c>
      <c r="H66" s="4" t="s">
        <v>187</v>
      </c>
      <c r="I66" s="4"/>
      <c r="J66" s="4"/>
      <c r="K66" s="4">
        <v>222</v>
      </c>
      <c r="L66" s="4">
        <v>3</v>
      </c>
      <c r="M66" s="4">
        <v>3</v>
      </c>
      <c r="N66" s="4" t="s">
        <v>3</v>
      </c>
      <c r="O66" s="4">
        <v>2</v>
      </c>
      <c r="P66" s="4"/>
      <c r="Q66" s="4"/>
      <c r="R66" s="4"/>
      <c r="S66" s="4"/>
      <c r="T66" s="4"/>
      <c r="U66" s="4"/>
      <c r="V66" s="4"/>
      <c r="W66" s="4">
        <v>0</v>
      </c>
      <c r="X66" s="4">
        <v>1</v>
      </c>
      <c r="Y66" s="4">
        <v>0</v>
      </c>
      <c r="Z66" s="4"/>
      <c r="AA66" s="4"/>
      <c r="AB66" s="4"/>
    </row>
    <row r="67" spans="1:28" x14ac:dyDescent="0.2">
      <c r="A67" s="4">
        <v>50</v>
      </c>
      <c r="B67" s="4">
        <v>0</v>
      </c>
      <c r="C67" s="4">
        <v>0</v>
      </c>
      <c r="D67" s="4">
        <v>1</v>
      </c>
      <c r="E67" s="4">
        <v>225</v>
      </c>
      <c r="F67" s="4">
        <f>ROUND(Source!AV62,O67)</f>
        <v>439824.36</v>
      </c>
      <c r="G67" s="4" t="s">
        <v>188</v>
      </c>
      <c r="H67" s="4" t="s">
        <v>189</v>
      </c>
      <c r="I67" s="4"/>
      <c r="J67" s="4"/>
      <c r="K67" s="4">
        <v>225</v>
      </c>
      <c r="L67" s="4">
        <v>4</v>
      </c>
      <c r="M67" s="4">
        <v>3</v>
      </c>
      <c r="N67" s="4" t="s">
        <v>3</v>
      </c>
      <c r="O67" s="4">
        <v>2</v>
      </c>
      <c r="P67" s="4"/>
      <c r="Q67" s="4"/>
      <c r="R67" s="4"/>
      <c r="S67" s="4"/>
      <c r="T67" s="4"/>
      <c r="U67" s="4"/>
      <c r="V67" s="4"/>
      <c r="W67" s="4">
        <v>439824.36</v>
      </c>
      <c r="X67" s="4">
        <v>1</v>
      </c>
      <c r="Y67" s="4">
        <v>439824.36</v>
      </c>
      <c r="Z67" s="4"/>
      <c r="AA67" s="4"/>
      <c r="AB67" s="4"/>
    </row>
    <row r="68" spans="1:28" x14ac:dyDescent="0.2">
      <c r="A68" s="4">
        <v>50</v>
      </c>
      <c r="B68" s="4">
        <v>0</v>
      </c>
      <c r="C68" s="4">
        <v>0</v>
      </c>
      <c r="D68" s="4">
        <v>1</v>
      </c>
      <c r="E68" s="4">
        <v>226</v>
      </c>
      <c r="F68" s="4">
        <f>ROUND(Source!AW62,O68)</f>
        <v>439824.36</v>
      </c>
      <c r="G68" s="4" t="s">
        <v>190</v>
      </c>
      <c r="H68" s="4" t="s">
        <v>191</v>
      </c>
      <c r="I68" s="4"/>
      <c r="J68" s="4"/>
      <c r="K68" s="4">
        <v>226</v>
      </c>
      <c r="L68" s="4">
        <v>5</v>
      </c>
      <c r="M68" s="4">
        <v>3</v>
      </c>
      <c r="N68" s="4" t="s">
        <v>3</v>
      </c>
      <c r="O68" s="4">
        <v>2</v>
      </c>
      <c r="P68" s="4"/>
      <c r="Q68" s="4"/>
      <c r="R68" s="4"/>
      <c r="S68" s="4"/>
      <c r="T68" s="4"/>
      <c r="U68" s="4"/>
      <c r="V68" s="4"/>
      <c r="W68" s="4">
        <v>439824.36</v>
      </c>
      <c r="X68" s="4">
        <v>1</v>
      </c>
      <c r="Y68" s="4">
        <v>439824.36</v>
      </c>
      <c r="Z68" s="4"/>
      <c r="AA68" s="4"/>
      <c r="AB68" s="4"/>
    </row>
    <row r="69" spans="1:28" x14ac:dyDescent="0.2">
      <c r="A69" s="4">
        <v>50</v>
      </c>
      <c r="B69" s="4">
        <v>0</v>
      </c>
      <c r="C69" s="4">
        <v>0</v>
      </c>
      <c r="D69" s="4">
        <v>1</v>
      </c>
      <c r="E69" s="4">
        <v>227</v>
      </c>
      <c r="F69" s="4">
        <f>ROUND(Source!AX62,O69)</f>
        <v>0</v>
      </c>
      <c r="G69" s="4" t="s">
        <v>192</v>
      </c>
      <c r="H69" s="4" t="s">
        <v>193</v>
      </c>
      <c r="I69" s="4"/>
      <c r="J69" s="4"/>
      <c r="K69" s="4">
        <v>227</v>
      </c>
      <c r="L69" s="4">
        <v>6</v>
      </c>
      <c r="M69" s="4">
        <v>3</v>
      </c>
      <c r="N69" s="4" t="s">
        <v>3</v>
      </c>
      <c r="O69" s="4">
        <v>2</v>
      </c>
      <c r="P69" s="4"/>
      <c r="Q69" s="4"/>
      <c r="R69" s="4"/>
      <c r="S69" s="4"/>
      <c r="T69" s="4"/>
      <c r="U69" s="4"/>
      <c r="V69" s="4"/>
      <c r="W69" s="4">
        <v>0</v>
      </c>
      <c r="X69" s="4">
        <v>1</v>
      </c>
      <c r="Y69" s="4">
        <v>0</v>
      </c>
      <c r="Z69" s="4"/>
      <c r="AA69" s="4"/>
      <c r="AB69" s="4"/>
    </row>
    <row r="70" spans="1:28" x14ac:dyDescent="0.2">
      <c r="A70" s="4">
        <v>50</v>
      </c>
      <c r="B70" s="4">
        <v>0</v>
      </c>
      <c r="C70" s="4">
        <v>0</v>
      </c>
      <c r="D70" s="4">
        <v>1</v>
      </c>
      <c r="E70" s="4">
        <v>228</v>
      </c>
      <c r="F70" s="4">
        <f>ROUND(Source!AY62,O70)</f>
        <v>439824.36</v>
      </c>
      <c r="G70" s="4" t="s">
        <v>194</v>
      </c>
      <c r="H70" s="4" t="s">
        <v>195</v>
      </c>
      <c r="I70" s="4"/>
      <c r="J70" s="4"/>
      <c r="K70" s="4">
        <v>228</v>
      </c>
      <c r="L70" s="4">
        <v>7</v>
      </c>
      <c r="M70" s="4">
        <v>3</v>
      </c>
      <c r="N70" s="4" t="s">
        <v>3</v>
      </c>
      <c r="O70" s="4">
        <v>2</v>
      </c>
      <c r="P70" s="4"/>
      <c r="Q70" s="4"/>
      <c r="R70" s="4"/>
      <c r="S70" s="4"/>
      <c r="T70" s="4"/>
      <c r="U70" s="4"/>
      <c r="V70" s="4"/>
      <c r="W70" s="4">
        <v>439824.36</v>
      </c>
      <c r="X70" s="4">
        <v>1</v>
      </c>
      <c r="Y70" s="4">
        <v>439824.36</v>
      </c>
      <c r="Z70" s="4"/>
      <c r="AA70" s="4"/>
      <c r="AB70" s="4"/>
    </row>
    <row r="71" spans="1:28" x14ac:dyDescent="0.2">
      <c r="A71" s="4">
        <v>50</v>
      </c>
      <c r="B71" s="4">
        <v>0</v>
      </c>
      <c r="C71" s="4">
        <v>0</v>
      </c>
      <c r="D71" s="4">
        <v>1</v>
      </c>
      <c r="E71" s="4">
        <v>216</v>
      </c>
      <c r="F71" s="4">
        <f>ROUND(Source!AP62,O71)</f>
        <v>0</v>
      </c>
      <c r="G71" s="4" t="s">
        <v>196</v>
      </c>
      <c r="H71" s="4" t="s">
        <v>197</v>
      </c>
      <c r="I71" s="4"/>
      <c r="J71" s="4"/>
      <c r="K71" s="4">
        <v>216</v>
      </c>
      <c r="L71" s="4">
        <v>8</v>
      </c>
      <c r="M71" s="4">
        <v>3</v>
      </c>
      <c r="N71" s="4" t="s">
        <v>3</v>
      </c>
      <c r="O71" s="4">
        <v>2</v>
      </c>
      <c r="P71" s="4"/>
      <c r="Q71" s="4"/>
      <c r="R71" s="4"/>
      <c r="S71" s="4"/>
      <c r="T71" s="4"/>
      <c r="U71" s="4"/>
      <c r="V71" s="4"/>
      <c r="W71" s="4">
        <v>0</v>
      </c>
      <c r="X71" s="4">
        <v>1</v>
      </c>
      <c r="Y71" s="4">
        <v>0</v>
      </c>
      <c r="Z71" s="4"/>
      <c r="AA71" s="4"/>
      <c r="AB71" s="4"/>
    </row>
    <row r="72" spans="1:28" x14ac:dyDescent="0.2">
      <c r="A72" s="4">
        <v>50</v>
      </c>
      <c r="B72" s="4">
        <v>0</v>
      </c>
      <c r="C72" s="4">
        <v>0</v>
      </c>
      <c r="D72" s="4">
        <v>1</v>
      </c>
      <c r="E72" s="4">
        <v>223</v>
      </c>
      <c r="F72" s="4">
        <f>ROUND(Source!AQ62,O72)</f>
        <v>0</v>
      </c>
      <c r="G72" s="4" t="s">
        <v>198</v>
      </c>
      <c r="H72" s="4" t="s">
        <v>199</v>
      </c>
      <c r="I72" s="4"/>
      <c r="J72" s="4"/>
      <c r="K72" s="4">
        <v>223</v>
      </c>
      <c r="L72" s="4">
        <v>9</v>
      </c>
      <c r="M72" s="4">
        <v>3</v>
      </c>
      <c r="N72" s="4" t="s">
        <v>3</v>
      </c>
      <c r="O72" s="4">
        <v>2</v>
      </c>
      <c r="P72" s="4"/>
      <c r="Q72" s="4"/>
      <c r="R72" s="4"/>
      <c r="S72" s="4"/>
      <c r="T72" s="4"/>
      <c r="U72" s="4"/>
      <c r="V72" s="4"/>
      <c r="W72" s="4">
        <v>0</v>
      </c>
      <c r="X72" s="4">
        <v>1</v>
      </c>
      <c r="Y72" s="4">
        <v>0</v>
      </c>
      <c r="Z72" s="4"/>
      <c r="AA72" s="4"/>
      <c r="AB72" s="4"/>
    </row>
    <row r="73" spans="1:28" x14ac:dyDescent="0.2">
      <c r="A73" s="4">
        <v>50</v>
      </c>
      <c r="B73" s="4">
        <v>0</v>
      </c>
      <c r="C73" s="4">
        <v>0</v>
      </c>
      <c r="D73" s="4">
        <v>1</v>
      </c>
      <c r="E73" s="4">
        <v>229</v>
      </c>
      <c r="F73" s="4">
        <f>ROUND(Source!AZ62,O73)</f>
        <v>0</v>
      </c>
      <c r="G73" s="4" t="s">
        <v>200</v>
      </c>
      <c r="H73" s="4" t="s">
        <v>201</v>
      </c>
      <c r="I73" s="4"/>
      <c r="J73" s="4"/>
      <c r="K73" s="4">
        <v>229</v>
      </c>
      <c r="L73" s="4">
        <v>10</v>
      </c>
      <c r="M73" s="4">
        <v>3</v>
      </c>
      <c r="N73" s="4" t="s">
        <v>3</v>
      </c>
      <c r="O73" s="4">
        <v>2</v>
      </c>
      <c r="P73" s="4"/>
      <c r="Q73" s="4"/>
      <c r="R73" s="4"/>
      <c r="S73" s="4"/>
      <c r="T73" s="4"/>
      <c r="U73" s="4"/>
      <c r="V73" s="4"/>
      <c r="W73" s="4">
        <v>0</v>
      </c>
      <c r="X73" s="4">
        <v>1</v>
      </c>
      <c r="Y73" s="4">
        <v>0</v>
      </c>
      <c r="Z73" s="4"/>
      <c r="AA73" s="4"/>
      <c r="AB73" s="4"/>
    </row>
    <row r="74" spans="1:28" x14ac:dyDescent="0.2">
      <c r="A74" s="4">
        <v>50</v>
      </c>
      <c r="B74" s="4">
        <v>0</v>
      </c>
      <c r="C74" s="4">
        <v>0</v>
      </c>
      <c r="D74" s="4">
        <v>1</v>
      </c>
      <c r="E74" s="4">
        <v>203</v>
      </c>
      <c r="F74" s="4">
        <f>ROUND(Source!Q62,O74)</f>
        <v>0</v>
      </c>
      <c r="G74" s="4" t="s">
        <v>202</v>
      </c>
      <c r="H74" s="4" t="s">
        <v>203</v>
      </c>
      <c r="I74" s="4"/>
      <c r="J74" s="4"/>
      <c r="K74" s="4">
        <v>203</v>
      </c>
      <c r="L74" s="4">
        <v>11</v>
      </c>
      <c r="M74" s="4">
        <v>3</v>
      </c>
      <c r="N74" s="4" t="s">
        <v>3</v>
      </c>
      <c r="O74" s="4">
        <v>2</v>
      </c>
      <c r="P74" s="4"/>
      <c r="Q74" s="4"/>
      <c r="R74" s="4"/>
      <c r="S74" s="4"/>
      <c r="T74" s="4"/>
      <c r="U74" s="4"/>
      <c r="V74" s="4"/>
      <c r="W74" s="4">
        <v>0</v>
      </c>
      <c r="X74" s="4">
        <v>1</v>
      </c>
      <c r="Y74" s="4">
        <v>0</v>
      </c>
      <c r="Z74" s="4"/>
      <c r="AA74" s="4"/>
      <c r="AB74" s="4"/>
    </row>
    <row r="75" spans="1:28" x14ac:dyDescent="0.2">
      <c r="A75" s="4">
        <v>50</v>
      </c>
      <c r="B75" s="4">
        <v>0</v>
      </c>
      <c r="C75" s="4">
        <v>0</v>
      </c>
      <c r="D75" s="4">
        <v>1</v>
      </c>
      <c r="E75" s="4">
        <v>231</v>
      </c>
      <c r="F75" s="4">
        <f>ROUND(Source!BB62,O75)</f>
        <v>0</v>
      </c>
      <c r="G75" s="4" t="s">
        <v>204</v>
      </c>
      <c r="H75" s="4" t="s">
        <v>205</v>
      </c>
      <c r="I75" s="4"/>
      <c r="J75" s="4"/>
      <c r="K75" s="4">
        <v>231</v>
      </c>
      <c r="L75" s="4">
        <v>12</v>
      </c>
      <c r="M75" s="4">
        <v>3</v>
      </c>
      <c r="N75" s="4" t="s">
        <v>3</v>
      </c>
      <c r="O75" s="4">
        <v>2</v>
      </c>
      <c r="P75" s="4"/>
      <c r="Q75" s="4"/>
      <c r="R75" s="4"/>
      <c r="S75" s="4"/>
      <c r="T75" s="4"/>
      <c r="U75" s="4"/>
      <c r="V75" s="4"/>
      <c r="W75" s="4">
        <v>0</v>
      </c>
      <c r="X75" s="4">
        <v>1</v>
      </c>
      <c r="Y75" s="4">
        <v>0</v>
      </c>
      <c r="Z75" s="4"/>
      <c r="AA75" s="4"/>
      <c r="AB75" s="4"/>
    </row>
    <row r="76" spans="1:28" x14ac:dyDescent="0.2">
      <c r="A76" s="4">
        <v>50</v>
      </c>
      <c r="B76" s="4">
        <v>0</v>
      </c>
      <c r="C76" s="4">
        <v>0</v>
      </c>
      <c r="D76" s="4">
        <v>1</v>
      </c>
      <c r="E76" s="4">
        <v>204</v>
      </c>
      <c r="F76" s="4">
        <f>ROUND(Source!R62,O76)</f>
        <v>0</v>
      </c>
      <c r="G76" s="4" t="s">
        <v>206</v>
      </c>
      <c r="H76" s="4" t="s">
        <v>207</v>
      </c>
      <c r="I76" s="4"/>
      <c r="J76" s="4"/>
      <c r="K76" s="4">
        <v>204</v>
      </c>
      <c r="L76" s="4">
        <v>13</v>
      </c>
      <c r="M76" s="4">
        <v>3</v>
      </c>
      <c r="N76" s="4" t="s">
        <v>3</v>
      </c>
      <c r="O76" s="4">
        <v>2</v>
      </c>
      <c r="P76" s="4"/>
      <c r="Q76" s="4"/>
      <c r="R76" s="4"/>
      <c r="S76" s="4"/>
      <c r="T76" s="4"/>
      <c r="U76" s="4"/>
      <c r="V76" s="4"/>
      <c r="W76" s="4">
        <v>0</v>
      </c>
      <c r="X76" s="4">
        <v>1</v>
      </c>
      <c r="Y76" s="4">
        <v>0</v>
      </c>
      <c r="Z76" s="4"/>
      <c r="AA76" s="4"/>
      <c r="AB76" s="4"/>
    </row>
    <row r="77" spans="1:28" x14ac:dyDescent="0.2">
      <c r="A77" s="4">
        <v>50</v>
      </c>
      <c r="B77" s="4">
        <v>0</v>
      </c>
      <c r="C77" s="4">
        <v>0</v>
      </c>
      <c r="D77" s="4">
        <v>1</v>
      </c>
      <c r="E77" s="4">
        <v>205</v>
      </c>
      <c r="F77" s="4">
        <f>ROUND(Source!S62,O77)</f>
        <v>0</v>
      </c>
      <c r="G77" s="4" t="s">
        <v>208</v>
      </c>
      <c r="H77" s="4" t="s">
        <v>209</v>
      </c>
      <c r="I77" s="4"/>
      <c r="J77" s="4"/>
      <c r="K77" s="4">
        <v>205</v>
      </c>
      <c r="L77" s="4">
        <v>14</v>
      </c>
      <c r="M77" s="4">
        <v>3</v>
      </c>
      <c r="N77" s="4" t="s">
        <v>3</v>
      </c>
      <c r="O77" s="4">
        <v>2</v>
      </c>
      <c r="P77" s="4"/>
      <c r="Q77" s="4"/>
      <c r="R77" s="4"/>
      <c r="S77" s="4"/>
      <c r="T77" s="4"/>
      <c r="U77" s="4"/>
      <c r="V77" s="4"/>
      <c r="W77" s="4">
        <v>0</v>
      </c>
      <c r="X77" s="4">
        <v>1</v>
      </c>
      <c r="Y77" s="4">
        <v>0</v>
      </c>
      <c r="Z77" s="4"/>
      <c r="AA77" s="4"/>
      <c r="AB77" s="4"/>
    </row>
    <row r="78" spans="1:28" x14ac:dyDescent="0.2">
      <c r="A78" s="4">
        <v>50</v>
      </c>
      <c r="B78" s="4">
        <v>0</v>
      </c>
      <c r="C78" s="4">
        <v>0</v>
      </c>
      <c r="D78" s="4">
        <v>1</v>
      </c>
      <c r="E78" s="4">
        <v>232</v>
      </c>
      <c r="F78" s="4">
        <f>ROUND(Source!BC62,O78)</f>
        <v>0</v>
      </c>
      <c r="G78" s="4" t="s">
        <v>210</v>
      </c>
      <c r="H78" s="4" t="s">
        <v>211</v>
      </c>
      <c r="I78" s="4"/>
      <c r="J78" s="4"/>
      <c r="K78" s="4">
        <v>232</v>
      </c>
      <c r="L78" s="4">
        <v>15</v>
      </c>
      <c r="M78" s="4">
        <v>3</v>
      </c>
      <c r="N78" s="4" t="s">
        <v>3</v>
      </c>
      <c r="O78" s="4">
        <v>2</v>
      </c>
      <c r="P78" s="4"/>
      <c r="Q78" s="4"/>
      <c r="R78" s="4"/>
      <c r="S78" s="4"/>
      <c r="T78" s="4"/>
      <c r="U78" s="4"/>
      <c r="V78" s="4"/>
      <c r="W78" s="4">
        <v>0</v>
      </c>
      <c r="X78" s="4">
        <v>1</v>
      </c>
      <c r="Y78" s="4">
        <v>0</v>
      </c>
      <c r="Z78" s="4"/>
      <c r="AA78" s="4"/>
      <c r="AB78" s="4"/>
    </row>
    <row r="79" spans="1:28" x14ac:dyDescent="0.2">
      <c r="A79" s="4">
        <v>50</v>
      </c>
      <c r="B79" s="4">
        <v>0</v>
      </c>
      <c r="C79" s="4">
        <v>0</v>
      </c>
      <c r="D79" s="4">
        <v>1</v>
      </c>
      <c r="E79" s="4">
        <v>214</v>
      </c>
      <c r="F79" s="4">
        <f>ROUND(Source!AS62,O79)</f>
        <v>439824.36</v>
      </c>
      <c r="G79" s="4" t="s">
        <v>212</v>
      </c>
      <c r="H79" s="4" t="s">
        <v>213</v>
      </c>
      <c r="I79" s="4"/>
      <c r="J79" s="4"/>
      <c r="K79" s="4">
        <v>214</v>
      </c>
      <c r="L79" s="4">
        <v>16</v>
      </c>
      <c r="M79" s="4">
        <v>3</v>
      </c>
      <c r="N79" s="4" t="s">
        <v>3</v>
      </c>
      <c r="O79" s="4">
        <v>2</v>
      </c>
      <c r="P79" s="4"/>
      <c r="Q79" s="4"/>
      <c r="R79" s="4"/>
      <c r="S79" s="4"/>
      <c r="T79" s="4"/>
      <c r="U79" s="4"/>
      <c r="V79" s="4"/>
      <c r="W79" s="4">
        <v>439824.36</v>
      </c>
      <c r="X79" s="4">
        <v>1</v>
      </c>
      <c r="Y79" s="4">
        <v>439824.36</v>
      </c>
      <c r="Z79" s="4"/>
      <c r="AA79" s="4"/>
      <c r="AB79" s="4"/>
    </row>
    <row r="80" spans="1:28" x14ac:dyDescent="0.2">
      <c r="A80" s="4">
        <v>50</v>
      </c>
      <c r="B80" s="4">
        <v>0</v>
      </c>
      <c r="C80" s="4">
        <v>0</v>
      </c>
      <c r="D80" s="4">
        <v>1</v>
      </c>
      <c r="E80" s="4">
        <v>215</v>
      </c>
      <c r="F80" s="4">
        <f>ROUND(Source!AT62,O80)</f>
        <v>0</v>
      </c>
      <c r="G80" s="4" t="s">
        <v>214</v>
      </c>
      <c r="H80" s="4" t="s">
        <v>215</v>
      </c>
      <c r="I80" s="4"/>
      <c r="J80" s="4"/>
      <c r="K80" s="4">
        <v>215</v>
      </c>
      <c r="L80" s="4">
        <v>17</v>
      </c>
      <c r="M80" s="4">
        <v>3</v>
      </c>
      <c r="N80" s="4" t="s">
        <v>3</v>
      </c>
      <c r="O80" s="4">
        <v>2</v>
      </c>
      <c r="P80" s="4"/>
      <c r="Q80" s="4"/>
      <c r="R80" s="4"/>
      <c r="S80" s="4"/>
      <c r="T80" s="4"/>
      <c r="U80" s="4"/>
      <c r="V80" s="4"/>
      <c r="W80" s="4">
        <v>0</v>
      </c>
      <c r="X80" s="4">
        <v>1</v>
      </c>
      <c r="Y80" s="4">
        <v>0</v>
      </c>
      <c r="Z80" s="4"/>
      <c r="AA80" s="4"/>
      <c r="AB80" s="4"/>
    </row>
    <row r="81" spans="1:28" x14ac:dyDescent="0.2">
      <c r="A81" s="4">
        <v>50</v>
      </c>
      <c r="B81" s="4">
        <v>0</v>
      </c>
      <c r="C81" s="4">
        <v>0</v>
      </c>
      <c r="D81" s="4">
        <v>1</v>
      </c>
      <c r="E81" s="4">
        <v>217</v>
      </c>
      <c r="F81" s="4">
        <f>ROUND(Source!AU62,O81)</f>
        <v>0</v>
      </c>
      <c r="G81" s="4" t="s">
        <v>216</v>
      </c>
      <c r="H81" s="4" t="s">
        <v>217</v>
      </c>
      <c r="I81" s="4"/>
      <c r="J81" s="4"/>
      <c r="K81" s="4">
        <v>217</v>
      </c>
      <c r="L81" s="4">
        <v>18</v>
      </c>
      <c r="M81" s="4">
        <v>3</v>
      </c>
      <c r="N81" s="4" t="s">
        <v>3</v>
      </c>
      <c r="O81" s="4">
        <v>2</v>
      </c>
      <c r="P81" s="4"/>
      <c r="Q81" s="4"/>
      <c r="R81" s="4"/>
      <c r="S81" s="4"/>
      <c r="T81" s="4"/>
      <c r="U81" s="4"/>
      <c r="V81" s="4"/>
      <c r="W81" s="4">
        <v>0</v>
      </c>
      <c r="X81" s="4">
        <v>1</v>
      </c>
      <c r="Y81" s="4">
        <v>0</v>
      </c>
      <c r="Z81" s="4"/>
      <c r="AA81" s="4"/>
      <c r="AB81" s="4"/>
    </row>
    <row r="82" spans="1:28" x14ac:dyDescent="0.2">
      <c r="A82" s="4">
        <v>50</v>
      </c>
      <c r="B82" s="4">
        <v>0</v>
      </c>
      <c r="C82" s="4">
        <v>0</v>
      </c>
      <c r="D82" s="4">
        <v>1</v>
      </c>
      <c r="E82" s="4">
        <v>230</v>
      </c>
      <c r="F82" s="4">
        <f>ROUND(Source!BA62,O82)</f>
        <v>0</v>
      </c>
      <c r="G82" s="4" t="s">
        <v>218</v>
      </c>
      <c r="H82" s="4" t="s">
        <v>219</v>
      </c>
      <c r="I82" s="4"/>
      <c r="J82" s="4"/>
      <c r="K82" s="4">
        <v>230</v>
      </c>
      <c r="L82" s="4">
        <v>19</v>
      </c>
      <c r="M82" s="4">
        <v>3</v>
      </c>
      <c r="N82" s="4" t="s">
        <v>3</v>
      </c>
      <c r="O82" s="4">
        <v>2</v>
      </c>
      <c r="P82" s="4"/>
      <c r="Q82" s="4"/>
      <c r="R82" s="4"/>
      <c r="S82" s="4"/>
      <c r="T82" s="4"/>
      <c r="U82" s="4"/>
      <c r="V82" s="4"/>
      <c r="W82" s="4">
        <v>0</v>
      </c>
      <c r="X82" s="4">
        <v>1</v>
      </c>
      <c r="Y82" s="4">
        <v>0</v>
      </c>
      <c r="Z82" s="4"/>
      <c r="AA82" s="4"/>
      <c r="AB82" s="4"/>
    </row>
    <row r="83" spans="1:28" x14ac:dyDescent="0.2">
      <c r="A83" s="4">
        <v>50</v>
      </c>
      <c r="B83" s="4">
        <v>0</v>
      </c>
      <c r="C83" s="4">
        <v>0</v>
      </c>
      <c r="D83" s="4">
        <v>1</v>
      </c>
      <c r="E83" s="4">
        <v>206</v>
      </c>
      <c r="F83" s="4">
        <f>ROUND(Source!T62,O83)</f>
        <v>0</v>
      </c>
      <c r="G83" s="4" t="s">
        <v>220</v>
      </c>
      <c r="H83" s="4" t="s">
        <v>221</v>
      </c>
      <c r="I83" s="4"/>
      <c r="J83" s="4"/>
      <c r="K83" s="4">
        <v>206</v>
      </c>
      <c r="L83" s="4">
        <v>20</v>
      </c>
      <c r="M83" s="4">
        <v>3</v>
      </c>
      <c r="N83" s="4" t="s">
        <v>3</v>
      </c>
      <c r="O83" s="4">
        <v>2</v>
      </c>
      <c r="P83" s="4"/>
      <c r="Q83" s="4"/>
      <c r="R83" s="4"/>
      <c r="S83" s="4"/>
      <c r="T83" s="4"/>
      <c r="U83" s="4"/>
      <c r="V83" s="4"/>
      <c r="W83" s="4">
        <v>0</v>
      </c>
      <c r="X83" s="4">
        <v>1</v>
      </c>
      <c r="Y83" s="4">
        <v>0</v>
      </c>
      <c r="Z83" s="4"/>
      <c r="AA83" s="4"/>
      <c r="AB83" s="4"/>
    </row>
    <row r="84" spans="1:28" x14ac:dyDescent="0.2">
      <c r="A84" s="4">
        <v>50</v>
      </c>
      <c r="B84" s="4">
        <v>0</v>
      </c>
      <c r="C84" s="4">
        <v>0</v>
      </c>
      <c r="D84" s="4">
        <v>1</v>
      </c>
      <c r="E84" s="4">
        <v>207</v>
      </c>
      <c r="F84" s="4">
        <f>Source!U62</f>
        <v>0</v>
      </c>
      <c r="G84" s="4" t="s">
        <v>222</v>
      </c>
      <c r="H84" s="4" t="s">
        <v>223</v>
      </c>
      <c r="I84" s="4"/>
      <c r="J84" s="4"/>
      <c r="K84" s="4">
        <v>207</v>
      </c>
      <c r="L84" s="4">
        <v>21</v>
      </c>
      <c r="M84" s="4">
        <v>3</v>
      </c>
      <c r="N84" s="4" t="s">
        <v>3</v>
      </c>
      <c r="O84" s="4">
        <v>-1</v>
      </c>
      <c r="P84" s="4"/>
      <c r="Q84" s="4"/>
      <c r="R84" s="4"/>
      <c r="S84" s="4"/>
      <c r="T84" s="4"/>
      <c r="U84" s="4"/>
      <c r="V84" s="4"/>
      <c r="W84" s="4">
        <v>0</v>
      </c>
      <c r="X84" s="4">
        <v>1</v>
      </c>
      <c r="Y84" s="4">
        <v>0</v>
      </c>
      <c r="Z84" s="4"/>
      <c r="AA84" s="4"/>
      <c r="AB84" s="4"/>
    </row>
    <row r="85" spans="1:28" x14ac:dyDescent="0.2">
      <c r="A85" s="4">
        <v>50</v>
      </c>
      <c r="B85" s="4">
        <v>0</v>
      </c>
      <c r="C85" s="4">
        <v>0</v>
      </c>
      <c r="D85" s="4">
        <v>1</v>
      </c>
      <c r="E85" s="4">
        <v>208</v>
      </c>
      <c r="F85" s="4">
        <f>Source!V62</f>
        <v>0</v>
      </c>
      <c r="G85" s="4" t="s">
        <v>224</v>
      </c>
      <c r="H85" s="4" t="s">
        <v>225</v>
      </c>
      <c r="I85" s="4"/>
      <c r="J85" s="4"/>
      <c r="K85" s="4">
        <v>208</v>
      </c>
      <c r="L85" s="4">
        <v>22</v>
      </c>
      <c r="M85" s="4">
        <v>3</v>
      </c>
      <c r="N85" s="4" t="s">
        <v>3</v>
      </c>
      <c r="O85" s="4">
        <v>-1</v>
      </c>
      <c r="P85" s="4"/>
      <c r="Q85" s="4"/>
      <c r="R85" s="4"/>
      <c r="S85" s="4"/>
      <c r="T85" s="4"/>
      <c r="U85" s="4"/>
      <c r="V85" s="4"/>
      <c r="W85" s="4">
        <v>0</v>
      </c>
      <c r="X85" s="4">
        <v>1</v>
      </c>
      <c r="Y85" s="4">
        <v>0</v>
      </c>
      <c r="Z85" s="4"/>
      <c r="AA85" s="4"/>
      <c r="AB85" s="4"/>
    </row>
    <row r="86" spans="1:28" x14ac:dyDescent="0.2">
      <c r="A86" s="4">
        <v>50</v>
      </c>
      <c r="B86" s="4">
        <v>0</v>
      </c>
      <c r="C86" s="4">
        <v>0</v>
      </c>
      <c r="D86" s="4">
        <v>1</v>
      </c>
      <c r="E86" s="4">
        <v>209</v>
      </c>
      <c r="F86" s="4">
        <f>ROUND(Source!W62,O86)</f>
        <v>0</v>
      </c>
      <c r="G86" s="4" t="s">
        <v>226</v>
      </c>
      <c r="H86" s="4" t="s">
        <v>227</v>
      </c>
      <c r="I86" s="4"/>
      <c r="J86" s="4"/>
      <c r="K86" s="4">
        <v>209</v>
      </c>
      <c r="L86" s="4">
        <v>23</v>
      </c>
      <c r="M86" s="4">
        <v>3</v>
      </c>
      <c r="N86" s="4" t="s">
        <v>3</v>
      </c>
      <c r="O86" s="4">
        <v>2</v>
      </c>
      <c r="P86" s="4"/>
      <c r="Q86" s="4"/>
      <c r="R86" s="4"/>
      <c r="S86" s="4"/>
      <c r="T86" s="4"/>
      <c r="U86" s="4"/>
      <c r="V86" s="4"/>
      <c r="W86" s="4">
        <v>0</v>
      </c>
      <c r="X86" s="4">
        <v>1</v>
      </c>
      <c r="Y86" s="4">
        <v>0</v>
      </c>
      <c r="Z86" s="4"/>
      <c r="AA86" s="4"/>
      <c r="AB86" s="4"/>
    </row>
    <row r="87" spans="1:28" x14ac:dyDescent="0.2">
      <c r="A87" s="4">
        <v>50</v>
      </c>
      <c r="B87" s="4">
        <v>0</v>
      </c>
      <c r="C87" s="4">
        <v>0</v>
      </c>
      <c r="D87" s="4">
        <v>1</v>
      </c>
      <c r="E87" s="4">
        <v>233</v>
      </c>
      <c r="F87" s="4">
        <f>ROUND(Source!BD62,O87)</f>
        <v>0</v>
      </c>
      <c r="G87" s="4" t="s">
        <v>228</v>
      </c>
      <c r="H87" s="4" t="s">
        <v>229</v>
      </c>
      <c r="I87" s="4"/>
      <c r="J87" s="4"/>
      <c r="K87" s="4">
        <v>233</v>
      </c>
      <c r="L87" s="4">
        <v>24</v>
      </c>
      <c r="M87" s="4">
        <v>3</v>
      </c>
      <c r="N87" s="4" t="s">
        <v>3</v>
      </c>
      <c r="O87" s="4">
        <v>2</v>
      </c>
      <c r="P87" s="4"/>
      <c r="Q87" s="4"/>
      <c r="R87" s="4"/>
      <c r="S87" s="4"/>
      <c r="T87" s="4"/>
      <c r="U87" s="4"/>
      <c r="V87" s="4"/>
      <c r="W87" s="4">
        <v>0</v>
      </c>
      <c r="X87" s="4">
        <v>1</v>
      </c>
      <c r="Y87" s="4">
        <v>0</v>
      </c>
      <c r="Z87" s="4"/>
      <c r="AA87" s="4"/>
      <c r="AB87" s="4"/>
    </row>
    <row r="88" spans="1:28" x14ac:dyDescent="0.2">
      <c r="A88" s="4">
        <v>50</v>
      </c>
      <c r="B88" s="4">
        <v>0</v>
      </c>
      <c r="C88" s="4">
        <v>0</v>
      </c>
      <c r="D88" s="4">
        <v>1</v>
      </c>
      <c r="E88" s="4">
        <v>210</v>
      </c>
      <c r="F88" s="4">
        <f>ROUND(Source!X62,O88)</f>
        <v>0</v>
      </c>
      <c r="G88" s="4" t="s">
        <v>230</v>
      </c>
      <c r="H88" s="4" t="s">
        <v>231</v>
      </c>
      <c r="I88" s="4"/>
      <c r="J88" s="4"/>
      <c r="K88" s="4">
        <v>210</v>
      </c>
      <c r="L88" s="4">
        <v>25</v>
      </c>
      <c r="M88" s="4">
        <v>3</v>
      </c>
      <c r="N88" s="4" t="s">
        <v>3</v>
      </c>
      <c r="O88" s="4">
        <v>2</v>
      </c>
      <c r="P88" s="4"/>
      <c r="Q88" s="4"/>
      <c r="R88" s="4"/>
      <c r="S88" s="4"/>
      <c r="T88" s="4"/>
      <c r="U88" s="4"/>
      <c r="V88" s="4"/>
      <c r="W88" s="4">
        <v>0</v>
      </c>
      <c r="X88" s="4">
        <v>1</v>
      </c>
      <c r="Y88" s="4">
        <v>0</v>
      </c>
      <c r="Z88" s="4"/>
      <c r="AA88" s="4"/>
      <c r="AB88" s="4"/>
    </row>
    <row r="89" spans="1:28" x14ac:dyDescent="0.2">
      <c r="A89" s="4">
        <v>50</v>
      </c>
      <c r="B89" s="4">
        <v>0</v>
      </c>
      <c r="C89" s="4">
        <v>0</v>
      </c>
      <c r="D89" s="4">
        <v>1</v>
      </c>
      <c r="E89" s="4">
        <v>211</v>
      </c>
      <c r="F89" s="4">
        <f>ROUND(Source!Y62,O89)</f>
        <v>0</v>
      </c>
      <c r="G89" s="4" t="s">
        <v>232</v>
      </c>
      <c r="H89" s="4" t="s">
        <v>233</v>
      </c>
      <c r="I89" s="4"/>
      <c r="J89" s="4"/>
      <c r="K89" s="4">
        <v>211</v>
      </c>
      <c r="L89" s="4">
        <v>26</v>
      </c>
      <c r="M89" s="4">
        <v>3</v>
      </c>
      <c r="N89" s="4" t="s">
        <v>3</v>
      </c>
      <c r="O89" s="4">
        <v>2</v>
      </c>
      <c r="P89" s="4"/>
      <c r="Q89" s="4"/>
      <c r="R89" s="4"/>
      <c r="S89" s="4"/>
      <c r="T89" s="4"/>
      <c r="U89" s="4"/>
      <c r="V89" s="4"/>
      <c r="W89" s="4">
        <v>0</v>
      </c>
      <c r="X89" s="4">
        <v>1</v>
      </c>
      <c r="Y89" s="4">
        <v>0</v>
      </c>
      <c r="Z89" s="4"/>
      <c r="AA89" s="4"/>
      <c r="AB89" s="4"/>
    </row>
    <row r="90" spans="1:28" x14ac:dyDescent="0.2">
      <c r="A90" s="4">
        <v>50</v>
      </c>
      <c r="B90" s="4">
        <v>0</v>
      </c>
      <c r="C90" s="4">
        <v>0</v>
      </c>
      <c r="D90" s="4">
        <v>1</v>
      </c>
      <c r="E90" s="4">
        <v>224</v>
      </c>
      <c r="F90" s="4">
        <f>ROUND(Source!AR62,O90)</f>
        <v>439824.36</v>
      </c>
      <c r="G90" s="4" t="s">
        <v>234</v>
      </c>
      <c r="H90" s="4" t="s">
        <v>235</v>
      </c>
      <c r="I90" s="4"/>
      <c r="J90" s="4"/>
      <c r="K90" s="4">
        <v>224</v>
      </c>
      <c r="L90" s="4">
        <v>27</v>
      </c>
      <c r="M90" s="4">
        <v>3</v>
      </c>
      <c r="N90" s="4" t="s">
        <v>3</v>
      </c>
      <c r="O90" s="4">
        <v>2</v>
      </c>
      <c r="P90" s="4"/>
      <c r="Q90" s="4"/>
      <c r="R90" s="4"/>
      <c r="S90" s="4"/>
      <c r="T90" s="4"/>
      <c r="U90" s="4"/>
      <c r="V90" s="4"/>
      <c r="W90" s="4">
        <v>439824.36</v>
      </c>
      <c r="X90" s="4">
        <v>1</v>
      </c>
      <c r="Y90" s="4">
        <v>439824.36</v>
      </c>
      <c r="Z90" s="4"/>
      <c r="AA90" s="4"/>
      <c r="AB90" s="4"/>
    </row>
    <row r="91" spans="1:28" x14ac:dyDescent="0.2">
      <c r="A91" s="4">
        <v>50</v>
      </c>
      <c r="B91" s="4">
        <v>1</v>
      </c>
      <c r="C91" s="4">
        <v>0</v>
      </c>
      <c r="D91" s="4">
        <v>2</v>
      </c>
      <c r="E91" s="4">
        <v>0</v>
      </c>
      <c r="F91" s="4">
        <f>ROUND(F77,O91)</f>
        <v>0</v>
      </c>
      <c r="G91" s="4" t="s">
        <v>236</v>
      </c>
      <c r="H91" s="4" t="s">
        <v>208</v>
      </c>
      <c r="I91" s="4"/>
      <c r="J91" s="4"/>
      <c r="K91" s="4">
        <v>212</v>
      </c>
      <c r="L91" s="4">
        <v>28</v>
      </c>
      <c r="M91" s="4">
        <v>0</v>
      </c>
      <c r="N91" s="4" t="s">
        <v>3</v>
      </c>
      <c r="O91" s="4">
        <v>2</v>
      </c>
      <c r="P91" s="4"/>
      <c r="Q91" s="4"/>
      <c r="R91" s="4"/>
      <c r="S91" s="4"/>
      <c r="T91" s="4"/>
      <c r="U91" s="4"/>
      <c r="V91" s="4"/>
      <c r="W91" s="4">
        <v>0</v>
      </c>
      <c r="X91" s="4">
        <v>1</v>
      </c>
      <c r="Y91" s="4">
        <v>0</v>
      </c>
      <c r="Z91" s="4"/>
      <c r="AA91" s="4"/>
      <c r="AB91" s="4"/>
    </row>
    <row r="92" spans="1:28" x14ac:dyDescent="0.2">
      <c r="A92" s="4">
        <v>50</v>
      </c>
      <c r="B92" s="4">
        <v>1</v>
      </c>
      <c r="C92" s="4">
        <v>0</v>
      </c>
      <c r="D92" s="4">
        <v>2</v>
      </c>
      <c r="E92" s="4">
        <v>0</v>
      </c>
      <c r="F92" s="4">
        <f>ROUND(F74,O92)</f>
        <v>0</v>
      </c>
      <c r="G92" s="4" t="s">
        <v>237</v>
      </c>
      <c r="H92" s="4" t="s">
        <v>238</v>
      </c>
      <c r="I92" s="4"/>
      <c r="J92" s="4"/>
      <c r="K92" s="4">
        <v>212</v>
      </c>
      <c r="L92" s="4">
        <v>29</v>
      </c>
      <c r="M92" s="4">
        <v>0</v>
      </c>
      <c r="N92" s="4" t="s">
        <v>3</v>
      </c>
      <c r="O92" s="4">
        <v>2</v>
      </c>
      <c r="P92" s="4"/>
      <c r="Q92" s="4"/>
      <c r="R92" s="4"/>
      <c r="S92" s="4"/>
      <c r="T92" s="4"/>
      <c r="U92" s="4"/>
      <c r="V92" s="4"/>
      <c r="W92" s="4">
        <v>0</v>
      </c>
      <c r="X92" s="4">
        <v>1</v>
      </c>
      <c r="Y92" s="4">
        <v>0</v>
      </c>
      <c r="Z92" s="4"/>
      <c r="AA92" s="4"/>
      <c r="AB92" s="4"/>
    </row>
    <row r="93" spans="1:28" x14ac:dyDescent="0.2">
      <c r="A93" s="4">
        <v>50</v>
      </c>
      <c r="B93" s="4">
        <v>1</v>
      </c>
      <c r="C93" s="4">
        <v>0</v>
      </c>
      <c r="D93" s="4">
        <v>2</v>
      </c>
      <c r="E93" s="4">
        <v>0</v>
      </c>
      <c r="F93" s="4">
        <f>ROUND(F65,O93)</f>
        <v>439824.36</v>
      </c>
      <c r="G93" s="4" t="s">
        <v>239</v>
      </c>
      <c r="H93" s="4" t="s">
        <v>240</v>
      </c>
      <c r="I93" s="4"/>
      <c r="J93" s="4"/>
      <c r="K93" s="4">
        <v>212</v>
      </c>
      <c r="L93" s="4">
        <v>30</v>
      </c>
      <c r="M93" s="4">
        <v>0</v>
      </c>
      <c r="N93" s="4" t="s">
        <v>3</v>
      </c>
      <c r="O93" s="4">
        <v>2</v>
      </c>
      <c r="P93" s="4"/>
      <c r="Q93" s="4"/>
      <c r="R93" s="4"/>
      <c r="S93" s="4"/>
      <c r="T93" s="4"/>
      <c r="U93" s="4"/>
      <c r="V93" s="4"/>
      <c r="W93" s="4">
        <v>439824.36</v>
      </c>
      <c r="X93" s="4">
        <v>1</v>
      </c>
      <c r="Y93" s="4">
        <v>439824.36</v>
      </c>
      <c r="Z93" s="4"/>
      <c r="AA93" s="4"/>
      <c r="AB93" s="4"/>
    </row>
    <row r="94" spans="1:28" x14ac:dyDescent="0.2">
      <c r="A94" s="4">
        <v>50</v>
      </c>
      <c r="B94" s="4">
        <v>1</v>
      </c>
      <c r="C94" s="4">
        <v>0</v>
      </c>
      <c r="D94" s="4">
        <v>2</v>
      </c>
      <c r="E94" s="4">
        <v>0</v>
      </c>
      <c r="F94" s="4">
        <f>ROUND(F88,O94)</f>
        <v>0</v>
      </c>
      <c r="G94" s="4" t="s">
        <v>241</v>
      </c>
      <c r="H94" s="4" t="s">
        <v>230</v>
      </c>
      <c r="I94" s="4"/>
      <c r="J94" s="4"/>
      <c r="K94" s="4">
        <v>212</v>
      </c>
      <c r="L94" s="4">
        <v>31</v>
      </c>
      <c r="M94" s="4">
        <v>0</v>
      </c>
      <c r="N94" s="4" t="s">
        <v>3</v>
      </c>
      <c r="O94" s="4">
        <v>2</v>
      </c>
      <c r="P94" s="4"/>
      <c r="Q94" s="4"/>
      <c r="R94" s="4"/>
      <c r="S94" s="4"/>
      <c r="T94" s="4"/>
      <c r="U94" s="4"/>
      <c r="V94" s="4"/>
      <c r="W94" s="4">
        <v>0</v>
      </c>
      <c r="X94" s="4">
        <v>1</v>
      </c>
      <c r="Y94" s="4">
        <v>0</v>
      </c>
      <c r="Z94" s="4"/>
      <c r="AA94" s="4"/>
      <c r="AB94" s="4"/>
    </row>
    <row r="95" spans="1:28" x14ac:dyDescent="0.2">
      <c r="A95" s="4">
        <v>50</v>
      </c>
      <c r="B95" s="4">
        <v>1</v>
      </c>
      <c r="C95" s="4">
        <v>0</v>
      </c>
      <c r="D95" s="4">
        <v>2</v>
      </c>
      <c r="E95" s="4">
        <v>0</v>
      </c>
      <c r="F95" s="4">
        <f>ROUND(F89,O95)</f>
        <v>0</v>
      </c>
      <c r="G95" s="4" t="s">
        <v>242</v>
      </c>
      <c r="H95" s="4" t="s">
        <v>243</v>
      </c>
      <c r="I95" s="4"/>
      <c r="J95" s="4"/>
      <c r="K95" s="4">
        <v>212</v>
      </c>
      <c r="L95" s="4">
        <v>32</v>
      </c>
      <c r="M95" s="4">
        <v>0</v>
      </c>
      <c r="N95" s="4" t="s">
        <v>3</v>
      </c>
      <c r="O95" s="4">
        <v>2</v>
      </c>
      <c r="P95" s="4"/>
      <c r="Q95" s="4"/>
      <c r="R95" s="4"/>
      <c r="S95" s="4"/>
      <c r="T95" s="4"/>
      <c r="U95" s="4"/>
      <c r="V95" s="4"/>
      <c r="W95" s="4">
        <v>0</v>
      </c>
      <c r="X95" s="4">
        <v>1</v>
      </c>
      <c r="Y95" s="4">
        <v>0</v>
      </c>
      <c r="Z95" s="4"/>
      <c r="AA95" s="4"/>
      <c r="AB95" s="4"/>
    </row>
    <row r="96" spans="1:28" x14ac:dyDescent="0.2">
      <c r="A96" s="4">
        <v>50</v>
      </c>
      <c r="B96" s="4">
        <v>1</v>
      </c>
      <c r="C96" s="4">
        <v>0</v>
      </c>
      <c r="D96" s="4">
        <v>2</v>
      </c>
      <c r="E96" s="4">
        <v>0</v>
      </c>
      <c r="F96" s="4">
        <f>ROUND(F91+F92+F93+F94+F95,O96)</f>
        <v>439824.36</v>
      </c>
      <c r="G96" s="4" t="s">
        <v>244</v>
      </c>
      <c r="H96" s="4" t="s">
        <v>234</v>
      </c>
      <c r="I96" s="4"/>
      <c r="J96" s="4"/>
      <c r="K96" s="4">
        <v>212</v>
      </c>
      <c r="L96" s="4">
        <v>33</v>
      </c>
      <c r="M96" s="4">
        <v>0</v>
      </c>
      <c r="N96" s="4" t="s">
        <v>3</v>
      </c>
      <c r="O96" s="4">
        <v>2</v>
      </c>
      <c r="P96" s="4"/>
      <c r="Q96" s="4"/>
      <c r="R96" s="4"/>
      <c r="S96" s="4"/>
      <c r="T96" s="4"/>
      <c r="U96" s="4"/>
      <c r="V96" s="4"/>
      <c r="W96" s="4">
        <v>439824.36</v>
      </c>
      <c r="X96" s="4">
        <v>1</v>
      </c>
      <c r="Y96" s="4">
        <v>439824.36</v>
      </c>
      <c r="Z96" s="4"/>
      <c r="AA96" s="4"/>
      <c r="AB96" s="4"/>
    </row>
    <row r="97" spans="1:206" x14ac:dyDescent="0.2">
      <c r="A97" s="4">
        <v>50</v>
      </c>
      <c r="B97" s="4">
        <v>1</v>
      </c>
      <c r="C97" s="4">
        <v>0</v>
      </c>
      <c r="D97" s="4">
        <v>2</v>
      </c>
      <c r="E97" s="4">
        <v>0</v>
      </c>
      <c r="F97" s="4">
        <f>ROUND(F96*0.2,O97)</f>
        <v>87964.87</v>
      </c>
      <c r="G97" s="4" t="s">
        <v>245</v>
      </c>
      <c r="H97" s="4" t="s">
        <v>246</v>
      </c>
      <c r="I97" s="4"/>
      <c r="J97" s="4"/>
      <c r="K97" s="4">
        <v>212</v>
      </c>
      <c r="L97" s="4">
        <v>34</v>
      </c>
      <c r="M97" s="4">
        <v>0</v>
      </c>
      <c r="N97" s="4" t="s">
        <v>3</v>
      </c>
      <c r="O97" s="4">
        <v>2</v>
      </c>
      <c r="P97" s="4"/>
      <c r="Q97" s="4"/>
      <c r="R97" s="4"/>
      <c r="S97" s="4"/>
      <c r="T97" s="4"/>
      <c r="U97" s="4"/>
      <c r="V97" s="4"/>
      <c r="W97" s="4">
        <v>87964.87</v>
      </c>
      <c r="X97" s="4">
        <v>1</v>
      </c>
      <c r="Y97" s="4">
        <v>87964.87</v>
      </c>
      <c r="Z97" s="4"/>
      <c r="AA97" s="4"/>
      <c r="AB97" s="4"/>
    </row>
    <row r="98" spans="1:206" x14ac:dyDescent="0.2">
      <c r="A98" s="4">
        <v>50</v>
      </c>
      <c r="B98" s="4">
        <v>1</v>
      </c>
      <c r="C98" s="4">
        <v>0</v>
      </c>
      <c r="D98" s="4">
        <v>2</v>
      </c>
      <c r="E98" s="4">
        <v>213</v>
      </c>
      <c r="F98" s="4">
        <f>ROUND(F96+F97,O98)</f>
        <v>527789.23</v>
      </c>
      <c r="G98" s="4" t="s">
        <v>247</v>
      </c>
      <c r="H98" s="4" t="s">
        <v>248</v>
      </c>
      <c r="I98" s="4"/>
      <c r="J98" s="4"/>
      <c r="K98" s="4">
        <v>212</v>
      </c>
      <c r="L98" s="4">
        <v>35</v>
      </c>
      <c r="M98" s="4">
        <v>0</v>
      </c>
      <c r="N98" s="4" t="s">
        <v>3</v>
      </c>
      <c r="O98" s="4">
        <v>2</v>
      </c>
      <c r="P98" s="4"/>
      <c r="Q98" s="4"/>
      <c r="R98" s="4"/>
      <c r="S98" s="4"/>
      <c r="T98" s="4"/>
      <c r="U98" s="4"/>
      <c r="V98" s="4"/>
      <c r="W98" s="4">
        <v>527789.23</v>
      </c>
      <c r="X98" s="4">
        <v>1</v>
      </c>
      <c r="Y98" s="4">
        <v>527789.23</v>
      </c>
      <c r="Z98" s="4"/>
      <c r="AA98" s="4"/>
      <c r="AB98" s="4"/>
    </row>
    <row r="100" spans="1:206" x14ac:dyDescent="0.2">
      <c r="A100" s="2">
        <v>51</v>
      </c>
      <c r="B100" s="2">
        <f>B20</f>
        <v>1</v>
      </c>
      <c r="C100" s="2">
        <f>A20</f>
        <v>3</v>
      </c>
      <c r="D100" s="2">
        <f>ROW(A20)</f>
        <v>20</v>
      </c>
      <c r="E100" s="2"/>
      <c r="F100" s="2" t="str">
        <f>IF(F20&lt;&gt;"",F20,"")</f>
        <v/>
      </c>
      <c r="G100" s="2" t="str">
        <f>IF(G20&lt;&gt;"",G20,"")</f>
        <v>Новая локальная смета</v>
      </c>
      <c r="H100" s="2">
        <v>0</v>
      </c>
      <c r="I100" s="2"/>
      <c r="J100" s="2"/>
      <c r="K100" s="2"/>
      <c r="L100" s="2"/>
      <c r="M100" s="2"/>
      <c r="N100" s="2"/>
      <c r="O100" s="2">
        <f t="shared" ref="O100:T100" si="104">ROUND(O62+AB100,2)</f>
        <v>746172.66</v>
      </c>
      <c r="P100" s="2">
        <f t="shared" si="104"/>
        <v>448124.29</v>
      </c>
      <c r="Q100" s="2">
        <f t="shared" si="104"/>
        <v>232787.4</v>
      </c>
      <c r="R100" s="2">
        <f t="shared" si="104"/>
        <v>24739.69</v>
      </c>
      <c r="S100" s="2">
        <f t="shared" si="104"/>
        <v>65260.97</v>
      </c>
      <c r="T100" s="2">
        <f t="shared" si="104"/>
        <v>0</v>
      </c>
      <c r="U100" s="2">
        <f>U62+AH100</f>
        <v>224.83074999999999</v>
      </c>
      <c r="V100" s="2">
        <f>V62+AI100</f>
        <v>63.624150000000007</v>
      </c>
      <c r="W100" s="2">
        <f>ROUND(W62+AJ100,2)</f>
        <v>0</v>
      </c>
      <c r="X100" s="2">
        <f>ROUND(X62+AK100,2)</f>
        <v>90922.75</v>
      </c>
      <c r="Y100" s="2">
        <f>ROUND(Y62+AL100,2)</f>
        <v>43595.49</v>
      </c>
      <c r="Z100" s="2"/>
      <c r="AA100" s="2"/>
      <c r="AB100" s="2">
        <f>ROUND(SUMIF(AA24:AA45,"=40777027",O24:O45),2)</f>
        <v>306348.3</v>
      </c>
      <c r="AC100" s="2">
        <f>ROUND(SUMIF(AA24:AA45,"=40777027",P24:P45),2)</f>
        <v>8299.93</v>
      </c>
      <c r="AD100" s="2">
        <f>ROUND(SUMIF(AA24:AA45,"=40777027",Q24:Q45),2)</f>
        <v>232787.4</v>
      </c>
      <c r="AE100" s="2">
        <f>ROUND(SUMIF(AA24:AA45,"=40777027",R24:R45),2)</f>
        <v>24739.69</v>
      </c>
      <c r="AF100" s="2">
        <f>ROUND(SUMIF(AA24:AA45,"=40777027",S24:S45),2)</f>
        <v>65260.97</v>
      </c>
      <c r="AG100" s="2">
        <f>ROUND(SUMIF(AA24:AA45,"=40777027",T24:T45),2)</f>
        <v>0</v>
      </c>
      <c r="AH100" s="2">
        <f>SUMIF(AA24:AA45,"=40777027",U24:U45)</f>
        <v>224.83074999999999</v>
      </c>
      <c r="AI100" s="2">
        <f>SUMIF(AA24:AA45,"=40777027",V24:V45)</f>
        <v>63.624150000000007</v>
      </c>
      <c r="AJ100" s="2">
        <f>ROUND(SUMIF(AA24:AA45,"=40777027",W24:W45),2)</f>
        <v>0</v>
      </c>
      <c r="AK100" s="2">
        <f>ROUND(SUMIF(AA24:AA45,"=40777027",X24:X45),2)</f>
        <v>90922.75</v>
      </c>
      <c r="AL100" s="2">
        <f>ROUND(SUMIF(AA24:AA45,"=40777027",Y24:Y45),2)</f>
        <v>43595.49</v>
      </c>
      <c r="AM100" s="2"/>
      <c r="AN100" s="2"/>
      <c r="AO100" s="2">
        <f t="shared" ref="AO100:BD100" si="105">ROUND(AO62+BX100,2)</f>
        <v>0</v>
      </c>
      <c r="AP100" s="2">
        <f t="shared" si="105"/>
        <v>0</v>
      </c>
      <c r="AQ100" s="2">
        <f t="shared" si="105"/>
        <v>0</v>
      </c>
      <c r="AR100" s="2">
        <f t="shared" si="105"/>
        <v>880690.9</v>
      </c>
      <c r="AS100" s="2">
        <f t="shared" si="105"/>
        <v>764972.92</v>
      </c>
      <c r="AT100" s="2">
        <f t="shared" si="105"/>
        <v>115717.98</v>
      </c>
      <c r="AU100" s="2">
        <f t="shared" si="105"/>
        <v>0</v>
      </c>
      <c r="AV100" s="2">
        <f t="shared" si="105"/>
        <v>448124.29</v>
      </c>
      <c r="AW100" s="2">
        <f t="shared" si="105"/>
        <v>448124.29</v>
      </c>
      <c r="AX100" s="2">
        <f t="shared" si="105"/>
        <v>0</v>
      </c>
      <c r="AY100" s="2">
        <f t="shared" si="105"/>
        <v>448124.29</v>
      </c>
      <c r="AZ100" s="2">
        <f t="shared" si="105"/>
        <v>0</v>
      </c>
      <c r="BA100" s="2">
        <f t="shared" si="105"/>
        <v>0</v>
      </c>
      <c r="BB100" s="2">
        <f t="shared" si="105"/>
        <v>0</v>
      </c>
      <c r="BC100" s="2">
        <f t="shared" si="105"/>
        <v>0</v>
      </c>
      <c r="BD100" s="2">
        <f t="shared" si="105"/>
        <v>0</v>
      </c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>
        <f>ROUND(SUMIF(AA24:AA45,"=40777027",FQ24:FQ45),2)</f>
        <v>0</v>
      </c>
      <c r="BY100" s="2">
        <f>ROUND(SUMIF(AA24:AA45,"=40777027",FR24:FR45),2)</f>
        <v>0</v>
      </c>
      <c r="BZ100" s="2">
        <f>ROUND(SUMIF(AA24:AA45,"=40777027",GL24:GL45),2)</f>
        <v>0</v>
      </c>
      <c r="CA100" s="2">
        <f>ROUND(SUMIF(AA24:AA45,"=40777027",GM24:GM45),2)</f>
        <v>440866.54</v>
      </c>
      <c r="CB100" s="2">
        <f>ROUND(SUMIF(AA24:AA45,"=40777027",GN24:GN45),2)</f>
        <v>325148.56</v>
      </c>
      <c r="CC100" s="2">
        <f>ROUND(SUMIF(AA24:AA45,"=40777027",GO24:GO45),2)</f>
        <v>115717.98</v>
      </c>
      <c r="CD100" s="2">
        <f>ROUND(SUMIF(AA24:AA45,"=40777027",GP24:GP45),2)</f>
        <v>0</v>
      </c>
      <c r="CE100" s="2">
        <f>AC100-BX100</f>
        <v>8299.93</v>
      </c>
      <c r="CF100" s="2">
        <f>AC100-BY100</f>
        <v>8299.93</v>
      </c>
      <c r="CG100" s="2">
        <f>BX100-BZ100</f>
        <v>0</v>
      </c>
      <c r="CH100" s="2">
        <f>AC100-BX100-BY100+BZ100</f>
        <v>8299.93</v>
      </c>
      <c r="CI100" s="2">
        <f>BY100-BZ100</f>
        <v>0</v>
      </c>
      <c r="CJ100" s="2">
        <f>ROUND(SUMIF(AA24:AA45,"=40777027",GX24:GX45),2)</f>
        <v>0</v>
      </c>
      <c r="CK100" s="2">
        <f>ROUND(SUMIF(AA24:AA45,"=40777027",GY24:GY45),2)</f>
        <v>0</v>
      </c>
      <c r="CL100" s="2">
        <f>ROUND(SUMIF(AA24:AA45,"=40777027",GZ24:GZ45),2)</f>
        <v>0</v>
      </c>
      <c r="CM100" s="2">
        <f>ROUND(SUMIF(AA24:AA45,"=40777027",HD24:HD45),2)</f>
        <v>0</v>
      </c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>
        <v>0</v>
      </c>
    </row>
    <row r="102" spans="1:206" x14ac:dyDescent="0.2">
      <c r="A102" s="4">
        <v>50</v>
      </c>
      <c r="B102" s="4">
        <v>0</v>
      </c>
      <c r="C102" s="4">
        <v>0</v>
      </c>
      <c r="D102" s="4">
        <v>1</v>
      </c>
      <c r="E102" s="4">
        <v>201</v>
      </c>
      <c r="F102" s="4">
        <f>ROUND(Source!O100,O102)</f>
        <v>746172.66</v>
      </c>
      <c r="G102" s="4" t="s">
        <v>182</v>
      </c>
      <c r="H102" s="4" t="s">
        <v>183</v>
      </c>
      <c r="I102" s="4"/>
      <c r="J102" s="4"/>
      <c r="K102" s="4">
        <v>201</v>
      </c>
      <c r="L102" s="4">
        <v>3</v>
      </c>
      <c r="M102" s="4">
        <v>3</v>
      </c>
      <c r="N102" s="4" t="s">
        <v>3</v>
      </c>
      <c r="O102" s="4">
        <v>2</v>
      </c>
      <c r="P102" s="4"/>
      <c r="Q102" s="4"/>
      <c r="R102" s="4"/>
      <c r="S102" s="4"/>
      <c r="T102" s="4"/>
      <c r="U102" s="4"/>
      <c r="V102" s="4"/>
      <c r="W102" s="4">
        <v>746172.66</v>
      </c>
      <c r="X102" s="4">
        <v>1</v>
      </c>
      <c r="Y102" s="4">
        <v>746172.66</v>
      </c>
      <c r="Z102" s="4"/>
      <c r="AA102" s="4"/>
      <c r="AB102" s="4"/>
    </row>
    <row r="103" spans="1:206" x14ac:dyDescent="0.2">
      <c r="A103" s="4">
        <v>50</v>
      </c>
      <c r="B103" s="4">
        <v>0</v>
      </c>
      <c r="C103" s="4">
        <v>0</v>
      </c>
      <c r="D103" s="4">
        <v>1</v>
      </c>
      <c r="E103" s="4">
        <v>202</v>
      </c>
      <c r="F103" s="4">
        <f>ROUND(Source!P100,O103)</f>
        <v>448124.29</v>
      </c>
      <c r="G103" s="4" t="s">
        <v>184</v>
      </c>
      <c r="H103" s="4" t="s">
        <v>185</v>
      </c>
      <c r="I103" s="4"/>
      <c r="J103" s="4"/>
      <c r="K103" s="4">
        <v>202</v>
      </c>
      <c r="L103" s="4">
        <v>4</v>
      </c>
      <c r="M103" s="4">
        <v>3</v>
      </c>
      <c r="N103" s="4" t="s">
        <v>3</v>
      </c>
      <c r="O103" s="4">
        <v>2</v>
      </c>
      <c r="P103" s="4"/>
      <c r="Q103" s="4"/>
      <c r="R103" s="4"/>
      <c r="S103" s="4"/>
      <c r="T103" s="4"/>
      <c r="U103" s="4"/>
      <c r="V103" s="4"/>
      <c r="W103" s="4">
        <v>448124.29</v>
      </c>
      <c r="X103" s="4">
        <v>1</v>
      </c>
      <c r="Y103" s="4">
        <v>448124.29</v>
      </c>
      <c r="Z103" s="4"/>
      <c r="AA103" s="4"/>
      <c r="AB103" s="4"/>
    </row>
    <row r="104" spans="1:206" x14ac:dyDescent="0.2">
      <c r="A104" s="4">
        <v>50</v>
      </c>
      <c r="B104" s="4">
        <v>0</v>
      </c>
      <c r="C104" s="4">
        <v>0</v>
      </c>
      <c r="D104" s="4">
        <v>1</v>
      </c>
      <c r="E104" s="4">
        <v>222</v>
      </c>
      <c r="F104" s="4">
        <f>ROUND(Source!AO100,O104)</f>
        <v>0</v>
      </c>
      <c r="G104" s="4" t="s">
        <v>186</v>
      </c>
      <c r="H104" s="4" t="s">
        <v>187</v>
      </c>
      <c r="I104" s="4"/>
      <c r="J104" s="4"/>
      <c r="K104" s="4">
        <v>222</v>
      </c>
      <c r="L104" s="4">
        <v>5</v>
      </c>
      <c r="M104" s="4">
        <v>3</v>
      </c>
      <c r="N104" s="4" t="s">
        <v>3</v>
      </c>
      <c r="O104" s="4">
        <v>2</v>
      </c>
      <c r="P104" s="4"/>
      <c r="Q104" s="4"/>
      <c r="R104" s="4"/>
      <c r="S104" s="4"/>
      <c r="T104" s="4"/>
      <c r="U104" s="4"/>
      <c r="V104" s="4"/>
      <c r="W104" s="4">
        <v>0</v>
      </c>
      <c r="X104" s="4">
        <v>1</v>
      </c>
      <c r="Y104" s="4">
        <v>0</v>
      </c>
      <c r="Z104" s="4"/>
      <c r="AA104" s="4"/>
      <c r="AB104" s="4"/>
    </row>
    <row r="105" spans="1:206" x14ac:dyDescent="0.2">
      <c r="A105" s="4">
        <v>50</v>
      </c>
      <c r="B105" s="4">
        <v>0</v>
      </c>
      <c r="C105" s="4">
        <v>0</v>
      </c>
      <c r="D105" s="4">
        <v>1</v>
      </c>
      <c r="E105" s="4">
        <v>225</v>
      </c>
      <c r="F105" s="4">
        <f>ROUND(Source!AV100,O105)</f>
        <v>448124.29</v>
      </c>
      <c r="G105" s="4" t="s">
        <v>188</v>
      </c>
      <c r="H105" s="4" t="s">
        <v>189</v>
      </c>
      <c r="I105" s="4"/>
      <c r="J105" s="4"/>
      <c r="K105" s="4">
        <v>225</v>
      </c>
      <c r="L105" s="4">
        <v>6</v>
      </c>
      <c r="M105" s="4">
        <v>3</v>
      </c>
      <c r="N105" s="4" t="s">
        <v>3</v>
      </c>
      <c r="O105" s="4">
        <v>2</v>
      </c>
      <c r="P105" s="4"/>
      <c r="Q105" s="4"/>
      <c r="R105" s="4"/>
      <c r="S105" s="4"/>
      <c r="T105" s="4"/>
      <c r="U105" s="4"/>
      <c r="V105" s="4"/>
      <c r="W105" s="4">
        <v>448124.29</v>
      </c>
      <c r="X105" s="4">
        <v>1</v>
      </c>
      <c r="Y105" s="4">
        <v>448124.29</v>
      </c>
      <c r="Z105" s="4"/>
      <c r="AA105" s="4"/>
      <c r="AB105" s="4"/>
    </row>
    <row r="106" spans="1:206" x14ac:dyDescent="0.2">
      <c r="A106" s="4">
        <v>50</v>
      </c>
      <c r="B106" s="4">
        <v>0</v>
      </c>
      <c r="C106" s="4">
        <v>0</v>
      </c>
      <c r="D106" s="4">
        <v>1</v>
      </c>
      <c r="E106" s="4">
        <v>226</v>
      </c>
      <c r="F106" s="4">
        <f>ROUND(Source!AW100,O106)</f>
        <v>448124.29</v>
      </c>
      <c r="G106" s="4" t="s">
        <v>190</v>
      </c>
      <c r="H106" s="4" t="s">
        <v>191</v>
      </c>
      <c r="I106" s="4"/>
      <c r="J106" s="4"/>
      <c r="K106" s="4">
        <v>226</v>
      </c>
      <c r="L106" s="4">
        <v>7</v>
      </c>
      <c r="M106" s="4">
        <v>3</v>
      </c>
      <c r="N106" s="4" t="s">
        <v>3</v>
      </c>
      <c r="O106" s="4">
        <v>2</v>
      </c>
      <c r="P106" s="4"/>
      <c r="Q106" s="4"/>
      <c r="R106" s="4"/>
      <c r="S106" s="4"/>
      <c r="T106" s="4"/>
      <c r="U106" s="4"/>
      <c r="V106" s="4"/>
      <c r="W106" s="4">
        <v>448124.29</v>
      </c>
      <c r="X106" s="4">
        <v>1</v>
      </c>
      <c r="Y106" s="4">
        <v>448124.29</v>
      </c>
      <c r="Z106" s="4"/>
      <c r="AA106" s="4"/>
      <c r="AB106" s="4"/>
    </row>
    <row r="107" spans="1:206" x14ac:dyDescent="0.2">
      <c r="A107" s="4">
        <v>50</v>
      </c>
      <c r="B107" s="4">
        <v>0</v>
      </c>
      <c r="C107" s="4">
        <v>0</v>
      </c>
      <c r="D107" s="4">
        <v>1</v>
      </c>
      <c r="E107" s="4">
        <v>227</v>
      </c>
      <c r="F107" s="4">
        <f>ROUND(Source!AX100,O107)</f>
        <v>0</v>
      </c>
      <c r="G107" s="4" t="s">
        <v>192</v>
      </c>
      <c r="H107" s="4" t="s">
        <v>193</v>
      </c>
      <c r="I107" s="4"/>
      <c r="J107" s="4"/>
      <c r="K107" s="4">
        <v>227</v>
      </c>
      <c r="L107" s="4">
        <v>8</v>
      </c>
      <c r="M107" s="4">
        <v>3</v>
      </c>
      <c r="N107" s="4" t="s">
        <v>3</v>
      </c>
      <c r="O107" s="4">
        <v>2</v>
      </c>
      <c r="P107" s="4"/>
      <c r="Q107" s="4"/>
      <c r="R107" s="4"/>
      <c r="S107" s="4"/>
      <c r="T107" s="4"/>
      <c r="U107" s="4"/>
      <c r="V107" s="4"/>
      <c r="W107" s="4">
        <v>0</v>
      </c>
      <c r="X107" s="4">
        <v>1</v>
      </c>
      <c r="Y107" s="4">
        <v>0</v>
      </c>
      <c r="Z107" s="4"/>
      <c r="AA107" s="4"/>
      <c r="AB107" s="4"/>
    </row>
    <row r="108" spans="1:206" x14ac:dyDescent="0.2">
      <c r="A108" s="4">
        <v>50</v>
      </c>
      <c r="B108" s="4">
        <v>0</v>
      </c>
      <c r="C108" s="4">
        <v>0</v>
      </c>
      <c r="D108" s="4">
        <v>1</v>
      </c>
      <c r="E108" s="4">
        <v>228</v>
      </c>
      <c r="F108" s="4">
        <f>ROUND(Source!AY100,O108)</f>
        <v>448124.29</v>
      </c>
      <c r="G108" s="4" t="s">
        <v>194</v>
      </c>
      <c r="H108" s="4" t="s">
        <v>195</v>
      </c>
      <c r="I108" s="4"/>
      <c r="J108" s="4"/>
      <c r="K108" s="4">
        <v>228</v>
      </c>
      <c r="L108" s="4">
        <v>9</v>
      </c>
      <c r="M108" s="4">
        <v>3</v>
      </c>
      <c r="N108" s="4" t="s">
        <v>3</v>
      </c>
      <c r="O108" s="4">
        <v>2</v>
      </c>
      <c r="P108" s="4"/>
      <c r="Q108" s="4"/>
      <c r="R108" s="4"/>
      <c r="S108" s="4"/>
      <c r="T108" s="4"/>
      <c r="U108" s="4"/>
      <c r="V108" s="4"/>
      <c r="W108" s="4">
        <v>448124.29</v>
      </c>
      <c r="X108" s="4">
        <v>1</v>
      </c>
      <c r="Y108" s="4">
        <v>448124.29</v>
      </c>
      <c r="Z108" s="4"/>
      <c r="AA108" s="4"/>
      <c r="AB108" s="4"/>
    </row>
    <row r="109" spans="1:206" x14ac:dyDescent="0.2">
      <c r="A109" s="4">
        <v>50</v>
      </c>
      <c r="B109" s="4">
        <v>0</v>
      </c>
      <c r="C109" s="4">
        <v>0</v>
      </c>
      <c r="D109" s="4">
        <v>1</v>
      </c>
      <c r="E109" s="4">
        <v>216</v>
      </c>
      <c r="F109" s="4">
        <f>ROUND(Source!AP100,O109)</f>
        <v>0</v>
      </c>
      <c r="G109" s="4" t="s">
        <v>196</v>
      </c>
      <c r="H109" s="4" t="s">
        <v>197</v>
      </c>
      <c r="I109" s="4"/>
      <c r="J109" s="4"/>
      <c r="K109" s="4">
        <v>216</v>
      </c>
      <c r="L109" s="4">
        <v>10</v>
      </c>
      <c r="M109" s="4">
        <v>3</v>
      </c>
      <c r="N109" s="4" t="s">
        <v>3</v>
      </c>
      <c r="O109" s="4">
        <v>2</v>
      </c>
      <c r="P109" s="4"/>
      <c r="Q109" s="4"/>
      <c r="R109" s="4"/>
      <c r="S109" s="4"/>
      <c r="T109" s="4"/>
      <c r="U109" s="4"/>
      <c r="V109" s="4"/>
      <c r="W109" s="4">
        <v>0</v>
      </c>
      <c r="X109" s="4">
        <v>1</v>
      </c>
      <c r="Y109" s="4">
        <v>0</v>
      </c>
      <c r="Z109" s="4"/>
      <c r="AA109" s="4"/>
      <c r="AB109" s="4"/>
    </row>
    <row r="110" spans="1:206" x14ac:dyDescent="0.2">
      <c r="A110" s="4">
        <v>50</v>
      </c>
      <c r="B110" s="4">
        <v>0</v>
      </c>
      <c r="C110" s="4">
        <v>0</v>
      </c>
      <c r="D110" s="4">
        <v>1</v>
      </c>
      <c r="E110" s="4">
        <v>223</v>
      </c>
      <c r="F110" s="4">
        <f>ROUND(Source!AQ100,O110)</f>
        <v>0</v>
      </c>
      <c r="G110" s="4" t="s">
        <v>198</v>
      </c>
      <c r="H110" s="4" t="s">
        <v>199</v>
      </c>
      <c r="I110" s="4"/>
      <c r="J110" s="4"/>
      <c r="K110" s="4">
        <v>223</v>
      </c>
      <c r="L110" s="4">
        <v>11</v>
      </c>
      <c r="M110" s="4">
        <v>3</v>
      </c>
      <c r="N110" s="4" t="s">
        <v>3</v>
      </c>
      <c r="O110" s="4">
        <v>2</v>
      </c>
      <c r="P110" s="4"/>
      <c r="Q110" s="4"/>
      <c r="R110" s="4"/>
      <c r="S110" s="4"/>
      <c r="T110" s="4"/>
      <c r="U110" s="4"/>
      <c r="V110" s="4"/>
      <c r="W110" s="4">
        <v>0</v>
      </c>
      <c r="X110" s="4">
        <v>1</v>
      </c>
      <c r="Y110" s="4">
        <v>0</v>
      </c>
      <c r="Z110" s="4"/>
      <c r="AA110" s="4"/>
      <c r="AB110" s="4"/>
    </row>
    <row r="111" spans="1:206" x14ac:dyDescent="0.2">
      <c r="A111" s="4">
        <v>50</v>
      </c>
      <c r="B111" s="4">
        <v>0</v>
      </c>
      <c r="C111" s="4">
        <v>0</v>
      </c>
      <c r="D111" s="4">
        <v>1</v>
      </c>
      <c r="E111" s="4">
        <v>229</v>
      </c>
      <c r="F111" s="4">
        <f>ROUND(Source!AZ100,O111)</f>
        <v>0</v>
      </c>
      <c r="G111" s="4" t="s">
        <v>200</v>
      </c>
      <c r="H111" s="4" t="s">
        <v>201</v>
      </c>
      <c r="I111" s="4"/>
      <c r="J111" s="4"/>
      <c r="K111" s="4">
        <v>229</v>
      </c>
      <c r="L111" s="4">
        <v>12</v>
      </c>
      <c r="M111" s="4">
        <v>3</v>
      </c>
      <c r="N111" s="4" t="s">
        <v>3</v>
      </c>
      <c r="O111" s="4">
        <v>2</v>
      </c>
      <c r="P111" s="4"/>
      <c r="Q111" s="4"/>
      <c r="R111" s="4"/>
      <c r="S111" s="4"/>
      <c r="T111" s="4"/>
      <c r="U111" s="4"/>
      <c r="V111" s="4"/>
      <c r="W111" s="4">
        <v>0</v>
      </c>
      <c r="X111" s="4">
        <v>1</v>
      </c>
      <c r="Y111" s="4">
        <v>0</v>
      </c>
      <c r="Z111" s="4"/>
      <c r="AA111" s="4"/>
      <c r="AB111" s="4"/>
    </row>
    <row r="112" spans="1:206" x14ac:dyDescent="0.2">
      <c r="A112" s="4">
        <v>50</v>
      </c>
      <c r="B112" s="4">
        <v>0</v>
      </c>
      <c r="C112" s="4">
        <v>0</v>
      </c>
      <c r="D112" s="4">
        <v>1</v>
      </c>
      <c r="E112" s="4">
        <v>203</v>
      </c>
      <c r="F112" s="4">
        <f>ROUND(Source!Q100,O112)</f>
        <v>232787.4</v>
      </c>
      <c r="G112" s="4" t="s">
        <v>202</v>
      </c>
      <c r="H112" s="4" t="s">
        <v>203</v>
      </c>
      <c r="I112" s="4"/>
      <c r="J112" s="4"/>
      <c r="K112" s="4">
        <v>203</v>
      </c>
      <c r="L112" s="4">
        <v>13</v>
      </c>
      <c r="M112" s="4">
        <v>3</v>
      </c>
      <c r="N112" s="4" t="s">
        <v>3</v>
      </c>
      <c r="O112" s="4">
        <v>2</v>
      </c>
      <c r="P112" s="4"/>
      <c r="Q112" s="4"/>
      <c r="R112" s="4"/>
      <c r="S112" s="4"/>
      <c r="T112" s="4"/>
      <c r="U112" s="4"/>
      <c r="V112" s="4"/>
      <c r="W112" s="4">
        <v>232787.4</v>
      </c>
      <c r="X112" s="4">
        <v>1</v>
      </c>
      <c r="Y112" s="4">
        <v>232787.4</v>
      </c>
      <c r="Z112" s="4"/>
      <c r="AA112" s="4"/>
      <c r="AB112" s="4"/>
    </row>
    <row r="113" spans="1:28" x14ac:dyDescent="0.2">
      <c r="A113" s="4">
        <v>50</v>
      </c>
      <c r="B113" s="4">
        <v>0</v>
      </c>
      <c r="C113" s="4">
        <v>0</v>
      </c>
      <c r="D113" s="4">
        <v>1</v>
      </c>
      <c r="E113" s="4">
        <v>231</v>
      </c>
      <c r="F113" s="4">
        <f>ROUND(Source!BB100,O113)</f>
        <v>0</v>
      </c>
      <c r="G113" s="4" t="s">
        <v>204</v>
      </c>
      <c r="H113" s="4" t="s">
        <v>205</v>
      </c>
      <c r="I113" s="4"/>
      <c r="J113" s="4"/>
      <c r="K113" s="4">
        <v>231</v>
      </c>
      <c r="L113" s="4">
        <v>14</v>
      </c>
      <c r="M113" s="4">
        <v>3</v>
      </c>
      <c r="N113" s="4" t="s">
        <v>3</v>
      </c>
      <c r="O113" s="4">
        <v>2</v>
      </c>
      <c r="P113" s="4"/>
      <c r="Q113" s="4"/>
      <c r="R113" s="4"/>
      <c r="S113" s="4"/>
      <c r="T113" s="4"/>
      <c r="U113" s="4"/>
      <c r="V113" s="4"/>
      <c r="W113" s="4">
        <v>0</v>
      </c>
      <c r="X113" s="4">
        <v>1</v>
      </c>
      <c r="Y113" s="4">
        <v>0</v>
      </c>
      <c r="Z113" s="4"/>
      <c r="AA113" s="4"/>
      <c r="AB113" s="4"/>
    </row>
    <row r="114" spans="1:28" x14ac:dyDescent="0.2">
      <c r="A114" s="4">
        <v>50</v>
      </c>
      <c r="B114" s="4">
        <v>0</v>
      </c>
      <c r="C114" s="4">
        <v>0</v>
      </c>
      <c r="D114" s="4">
        <v>1</v>
      </c>
      <c r="E114" s="4">
        <v>204</v>
      </c>
      <c r="F114" s="4">
        <f>ROUND(Source!R100,O114)</f>
        <v>24739.69</v>
      </c>
      <c r="G114" s="4" t="s">
        <v>206</v>
      </c>
      <c r="H114" s="4" t="s">
        <v>207</v>
      </c>
      <c r="I114" s="4"/>
      <c r="J114" s="4"/>
      <c r="K114" s="4">
        <v>204</v>
      </c>
      <c r="L114" s="4">
        <v>15</v>
      </c>
      <c r="M114" s="4">
        <v>3</v>
      </c>
      <c r="N114" s="4" t="s">
        <v>3</v>
      </c>
      <c r="O114" s="4">
        <v>2</v>
      </c>
      <c r="P114" s="4"/>
      <c r="Q114" s="4"/>
      <c r="R114" s="4"/>
      <c r="S114" s="4"/>
      <c r="T114" s="4"/>
      <c r="U114" s="4"/>
      <c r="V114" s="4"/>
      <c r="W114" s="4">
        <v>24739.69</v>
      </c>
      <c r="X114" s="4">
        <v>1</v>
      </c>
      <c r="Y114" s="4">
        <v>24739.69</v>
      </c>
      <c r="Z114" s="4"/>
      <c r="AA114" s="4"/>
      <c r="AB114" s="4"/>
    </row>
    <row r="115" spans="1:28" x14ac:dyDescent="0.2">
      <c r="A115" s="4">
        <v>50</v>
      </c>
      <c r="B115" s="4">
        <v>0</v>
      </c>
      <c r="C115" s="4">
        <v>0</v>
      </c>
      <c r="D115" s="4">
        <v>1</v>
      </c>
      <c r="E115" s="4">
        <v>205</v>
      </c>
      <c r="F115" s="4">
        <f>ROUND(Source!S100,O115)</f>
        <v>65260.97</v>
      </c>
      <c r="G115" s="4" t="s">
        <v>208</v>
      </c>
      <c r="H115" s="4" t="s">
        <v>209</v>
      </c>
      <c r="I115" s="4"/>
      <c r="J115" s="4"/>
      <c r="K115" s="4">
        <v>205</v>
      </c>
      <c r="L115" s="4">
        <v>16</v>
      </c>
      <c r="M115" s="4">
        <v>3</v>
      </c>
      <c r="N115" s="4" t="s">
        <v>3</v>
      </c>
      <c r="O115" s="4">
        <v>2</v>
      </c>
      <c r="P115" s="4"/>
      <c r="Q115" s="4"/>
      <c r="R115" s="4"/>
      <c r="S115" s="4"/>
      <c r="T115" s="4"/>
      <c r="U115" s="4"/>
      <c r="V115" s="4"/>
      <c r="W115" s="4">
        <v>65260.97</v>
      </c>
      <c r="X115" s="4">
        <v>1</v>
      </c>
      <c r="Y115" s="4">
        <v>65260.97</v>
      </c>
      <c r="Z115" s="4"/>
      <c r="AA115" s="4"/>
      <c r="AB115" s="4"/>
    </row>
    <row r="116" spans="1:28" x14ac:dyDescent="0.2">
      <c r="A116" s="4">
        <v>50</v>
      </c>
      <c r="B116" s="4">
        <v>0</v>
      </c>
      <c r="C116" s="4">
        <v>0</v>
      </c>
      <c r="D116" s="4">
        <v>1</v>
      </c>
      <c r="E116" s="4">
        <v>232</v>
      </c>
      <c r="F116" s="4">
        <f>ROUND(Source!BC100,O116)</f>
        <v>0</v>
      </c>
      <c r="G116" s="4" t="s">
        <v>210</v>
      </c>
      <c r="H116" s="4" t="s">
        <v>211</v>
      </c>
      <c r="I116" s="4"/>
      <c r="J116" s="4"/>
      <c r="K116" s="4">
        <v>232</v>
      </c>
      <c r="L116" s="4">
        <v>17</v>
      </c>
      <c r="M116" s="4">
        <v>3</v>
      </c>
      <c r="N116" s="4" t="s">
        <v>3</v>
      </c>
      <c r="O116" s="4">
        <v>2</v>
      </c>
      <c r="P116" s="4"/>
      <c r="Q116" s="4"/>
      <c r="R116" s="4"/>
      <c r="S116" s="4"/>
      <c r="T116" s="4"/>
      <c r="U116" s="4"/>
      <c r="V116" s="4"/>
      <c r="W116" s="4">
        <v>0</v>
      </c>
      <c r="X116" s="4">
        <v>1</v>
      </c>
      <c r="Y116" s="4">
        <v>0</v>
      </c>
      <c r="Z116" s="4"/>
      <c r="AA116" s="4"/>
      <c r="AB116" s="4"/>
    </row>
    <row r="117" spans="1:28" x14ac:dyDescent="0.2">
      <c r="A117" s="4">
        <v>50</v>
      </c>
      <c r="B117" s="4">
        <v>0</v>
      </c>
      <c r="C117" s="4">
        <v>0</v>
      </c>
      <c r="D117" s="4">
        <v>1</v>
      </c>
      <c r="E117" s="4">
        <v>214</v>
      </c>
      <c r="F117" s="4">
        <f>ROUND(Source!AS100,O117)</f>
        <v>764972.92</v>
      </c>
      <c r="G117" s="4" t="s">
        <v>212</v>
      </c>
      <c r="H117" s="4" t="s">
        <v>213</v>
      </c>
      <c r="I117" s="4"/>
      <c r="J117" s="4"/>
      <c r="K117" s="4">
        <v>214</v>
      </c>
      <c r="L117" s="4">
        <v>18</v>
      </c>
      <c r="M117" s="4">
        <v>3</v>
      </c>
      <c r="N117" s="4" t="s">
        <v>3</v>
      </c>
      <c r="O117" s="4">
        <v>2</v>
      </c>
      <c r="P117" s="4"/>
      <c r="Q117" s="4"/>
      <c r="R117" s="4"/>
      <c r="S117" s="4"/>
      <c r="T117" s="4"/>
      <c r="U117" s="4"/>
      <c r="V117" s="4"/>
      <c r="W117" s="4">
        <v>764972.92</v>
      </c>
      <c r="X117" s="4">
        <v>1</v>
      </c>
      <c r="Y117" s="4">
        <v>764972.92</v>
      </c>
      <c r="Z117" s="4"/>
      <c r="AA117" s="4"/>
      <c r="AB117" s="4"/>
    </row>
    <row r="118" spans="1:28" x14ac:dyDescent="0.2">
      <c r="A118" s="4">
        <v>50</v>
      </c>
      <c r="B118" s="4">
        <v>0</v>
      </c>
      <c r="C118" s="4">
        <v>0</v>
      </c>
      <c r="D118" s="4">
        <v>1</v>
      </c>
      <c r="E118" s="4">
        <v>215</v>
      </c>
      <c r="F118" s="4">
        <f>ROUND(Source!AT100,O118)</f>
        <v>115717.98</v>
      </c>
      <c r="G118" s="4" t="s">
        <v>214</v>
      </c>
      <c r="H118" s="4" t="s">
        <v>215</v>
      </c>
      <c r="I118" s="4"/>
      <c r="J118" s="4"/>
      <c r="K118" s="4">
        <v>215</v>
      </c>
      <c r="L118" s="4">
        <v>19</v>
      </c>
      <c r="M118" s="4">
        <v>3</v>
      </c>
      <c r="N118" s="4" t="s">
        <v>3</v>
      </c>
      <c r="O118" s="4">
        <v>2</v>
      </c>
      <c r="P118" s="4"/>
      <c r="Q118" s="4"/>
      <c r="R118" s="4"/>
      <c r="S118" s="4"/>
      <c r="T118" s="4"/>
      <c r="U118" s="4"/>
      <c r="V118" s="4"/>
      <c r="W118" s="4">
        <v>115717.98</v>
      </c>
      <c r="X118" s="4">
        <v>1</v>
      </c>
      <c r="Y118" s="4">
        <v>115717.98</v>
      </c>
      <c r="Z118" s="4"/>
      <c r="AA118" s="4"/>
      <c r="AB118" s="4"/>
    </row>
    <row r="119" spans="1:28" x14ac:dyDescent="0.2">
      <c r="A119" s="4">
        <v>50</v>
      </c>
      <c r="B119" s="4">
        <v>0</v>
      </c>
      <c r="C119" s="4">
        <v>0</v>
      </c>
      <c r="D119" s="4">
        <v>1</v>
      </c>
      <c r="E119" s="4">
        <v>217</v>
      </c>
      <c r="F119" s="4">
        <f>ROUND(Source!AU100,O119)</f>
        <v>0</v>
      </c>
      <c r="G119" s="4" t="s">
        <v>216</v>
      </c>
      <c r="H119" s="4" t="s">
        <v>217</v>
      </c>
      <c r="I119" s="4"/>
      <c r="J119" s="4"/>
      <c r="K119" s="4">
        <v>217</v>
      </c>
      <c r="L119" s="4">
        <v>20</v>
      </c>
      <c r="M119" s="4">
        <v>3</v>
      </c>
      <c r="N119" s="4" t="s">
        <v>3</v>
      </c>
      <c r="O119" s="4">
        <v>2</v>
      </c>
      <c r="P119" s="4"/>
      <c r="Q119" s="4"/>
      <c r="R119" s="4"/>
      <c r="S119" s="4"/>
      <c r="T119" s="4"/>
      <c r="U119" s="4"/>
      <c r="V119" s="4"/>
      <c r="W119" s="4">
        <v>0</v>
      </c>
      <c r="X119" s="4">
        <v>1</v>
      </c>
      <c r="Y119" s="4">
        <v>0</v>
      </c>
      <c r="Z119" s="4"/>
      <c r="AA119" s="4"/>
      <c r="AB119" s="4"/>
    </row>
    <row r="120" spans="1:28" x14ac:dyDescent="0.2">
      <c r="A120" s="4">
        <v>50</v>
      </c>
      <c r="B120" s="4">
        <v>0</v>
      </c>
      <c r="C120" s="4">
        <v>0</v>
      </c>
      <c r="D120" s="4">
        <v>1</v>
      </c>
      <c r="E120" s="4">
        <v>230</v>
      </c>
      <c r="F120" s="4">
        <f>ROUND(Source!BA100,O120)</f>
        <v>0</v>
      </c>
      <c r="G120" s="4" t="s">
        <v>218</v>
      </c>
      <c r="H120" s="4" t="s">
        <v>219</v>
      </c>
      <c r="I120" s="4"/>
      <c r="J120" s="4"/>
      <c r="K120" s="4">
        <v>230</v>
      </c>
      <c r="L120" s="4">
        <v>21</v>
      </c>
      <c r="M120" s="4">
        <v>3</v>
      </c>
      <c r="N120" s="4" t="s">
        <v>3</v>
      </c>
      <c r="O120" s="4">
        <v>2</v>
      </c>
      <c r="P120" s="4"/>
      <c r="Q120" s="4"/>
      <c r="R120" s="4"/>
      <c r="S120" s="4"/>
      <c r="T120" s="4"/>
      <c r="U120" s="4"/>
      <c r="V120" s="4"/>
      <c r="W120" s="4">
        <v>0</v>
      </c>
      <c r="X120" s="4">
        <v>1</v>
      </c>
      <c r="Y120" s="4">
        <v>0</v>
      </c>
      <c r="Z120" s="4"/>
      <c r="AA120" s="4"/>
      <c r="AB120" s="4"/>
    </row>
    <row r="121" spans="1:28" x14ac:dyDescent="0.2">
      <c r="A121" s="4">
        <v>50</v>
      </c>
      <c r="B121" s="4">
        <v>0</v>
      </c>
      <c r="C121" s="4">
        <v>0</v>
      </c>
      <c r="D121" s="4">
        <v>1</v>
      </c>
      <c r="E121" s="4">
        <v>206</v>
      </c>
      <c r="F121" s="4">
        <f>ROUND(Source!T100,O121)</f>
        <v>0</v>
      </c>
      <c r="G121" s="4" t="s">
        <v>220</v>
      </c>
      <c r="H121" s="4" t="s">
        <v>221</v>
      </c>
      <c r="I121" s="4"/>
      <c r="J121" s="4"/>
      <c r="K121" s="4">
        <v>206</v>
      </c>
      <c r="L121" s="4">
        <v>22</v>
      </c>
      <c r="M121" s="4">
        <v>3</v>
      </c>
      <c r="N121" s="4" t="s">
        <v>3</v>
      </c>
      <c r="O121" s="4">
        <v>2</v>
      </c>
      <c r="P121" s="4"/>
      <c r="Q121" s="4"/>
      <c r="R121" s="4"/>
      <c r="S121" s="4"/>
      <c r="T121" s="4"/>
      <c r="U121" s="4"/>
      <c r="V121" s="4"/>
      <c r="W121" s="4">
        <v>0</v>
      </c>
      <c r="X121" s="4">
        <v>1</v>
      </c>
      <c r="Y121" s="4">
        <v>0</v>
      </c>
      <c r="Z121" s="4"/>
      <c r="AA121" s="4"/>
      <c r="AB121" s="4"/>
    </row>
    <row r="122" spans="1:28" x14ac:dyDescent="0.2">
      <c r="A122" s="4">
        <v>50</v>
      </c>
      <c r="B122" s="4">
        <v>0</v>
      </c>
      <c r="C122" s="4">
        <v>0</v>
      </c>
      <c r="D122" s="4">
        <v>1</v>
      </c>
      <c r="E122" s="4">
        <v>207</v>
      </c>
      <c r="F122" s="4">
        <f>Source!U100</f>
        <v>224.83074999999999</v>
      </c>
      <c r="G122" s="4" t="s">
        <v>222</v>
      </c>
      <c r="H122" s="4" t="s">
        <v>223</v>
      </c>
      <c r="I122" s="4"/>
      <c r="J122" s="4"/>
      <c r="K122" s="4">
        <v>207</v>
      </c>
      <c r="L122" s="4">
        <v>23</v>
      </c>
      <c r="M122" s="4">
        <v>3</v>
      </c>
      <c r="N122" s="4" t="s">
        <v>3</v>
      </c>
      <c r="O122" s="4">
        <v>-1</v>
      </c>
      <c r="P122" s="4"/>
      <c r="Q122" s="4"/>
      <c r="R122" s="4"/>
      <c r="S122" s="4"/>
      <c r="T122" s="4"/>
      <c r="U122" s="4"/>
      <c r="V122" s="4"/>
      <c r="W122" s="4">
        <v>224.83074999999999</v>
      </c>
      <c r="X122" s="4">
        <v>1</v>
      </c>
      <c r="Y122" s="4">
        <v>224.83074999999999</v>
      </c>
      <c r="Z122" s="4"/>
      <c r="AA122" s="4"/>
      <c r="AB122" s="4"/>
    </row>
    <row r="123" spans="1:28" x14ac:dyDescent="0.2">
      <c r="A123" s="4">
        <v>50</v>
      </c>
      <c r="B123" s="4">
        <v>0</v>
      </c>
      <c r="C123" s="4">
        <v>0</v>
      </c>
      <c r="D123" s="4">
        <v>1</v>
      </c>
      <c r="E123" s="4">
        <v>208</v>
      </c>
      <c r="F123" s="4">
        <f>Source!V100</f>
        <v>63.624150000000007</v>
      </c>
      <c r="G123" s="4" t="s">
        <v>224</v>
      </c>
      <c r="H123" s="4" t="s">
        <v>225</v>
      </c>
      <c r="I123" s="4"/>
      <c r="J123" s="4"/>
      <c r="K123" s="4">
        <v>208</v>
      </c>
      <c r="L123" s="4">
        <v>24</v>
      </c>
      <c r="M123" s="4">
        <v>3</v>
      </c>
      <c r="N123" s="4" t="s">
        <v>3</v>
      </c>
      <c r="O123" s="4">
        <v>-1</v>
      </c>
      <c r="P123" s="4"/>
      <c r="Q123" s="4"/>
      <c r="R123" s="4"/>
      <c r="S123" s="4"/>
      <c r="T123" s="4"/>
      <c r="U123" s="4"/>
      <c r="V123" s="4"/>
      <c r="W123" s="4">
        <v>63.62415</v>
      </c>
      <c r="X123" s="4">
        <v>1</v>
      </c>
      <c r="Y123" s="4">
        <v>63.62415</v>
      </c>
      <c r="Z123" s="4"/>
      <c r="AA123" s="4"/>
      <c r="AB123" s="4"/>
    </row>
    <row r="124" spans="1:28" x14ac:dyDescent="0.2">
      <c r="A124" s="4">
        <v>50</v>
      </c>
      <c r="B124" s="4">
        <v>0</v>
      </c>
      <c r="C124" s="4">
        <v>0</v>
      </c>
      <c r="D124" s="4">
        <v>1</v>
      </c>
      <c r="E124" s="4">
        <v>209</v>
      </c>
      <c r="F124" s="4">
        <f>ROUND(Source!W100,O124)</f>
        <v>0</v>
      </c>
      <c r="G124" s="4" t="s">
        <v>226</v>
      </c>
      <c r="H124" s="4" t="s">
        <v>227</v>
      </c>
      <c r="I124" s="4"/>
      <c r="J124" s="4"/>
      <c r="K124" s="4">
        <v>209</v>
      </c>
      <c r="L124" s="4">
        <v>25</v>
      </c>
      <c r="M124" s="4">
        <v>3</v>
      </c>
      <c r="N124" s="4" t="s">
        <v>3</v>
      </c>
      <c r="O124" s="4">
        <v>2</v>
      </c>
      <c r="P124" s="4"/>
      <c r="Q124" s="4"/>
      <c r="R124" s="4"/>
      <c r="S124" s="4"/>
      <c r="T124" s="4"/>
      <c r="U124" s="4"/>
      <c r="V124" s="4"/>
      <c r="W124" s="4">
        <v>0</v>
      </c>
      <c r="X124" s="4">
        <v>1</v>
      </c>
      <c r="Y124" s="4">
        <v>0</v>
      </c>
      <c r="Z124" s="4"/>
      <c r="AA124" s="4"/>
      <c r="AB124" s="4"/>
    </row>
    <row r="125" spans="1:28" x14ac:dyDescent="0.2">
      <c r="A125" s="4">
        <v>50</v>
      </c>
      <c r="B125" s="4">
        <v>0</v>
      </c>
      <c r="C125" s="4">
        <v>0</v>
      </c>
      <c r="D125" s="4">
        <v>1</v>
      </c>
      <c r="E125" s="4">
        <v>233</v>
      </c>
      <c r="F125" s="4">
        <f>ROUND(Source!BD100,O125)</f>
        <v>0</v>
      </c>
      <c r="G125" s="4" t="s">
        <v>228</v>
      </c>
      <c r="H125" s="4" t="s">
        <v>229</v>
      </c>
      <c r="I125" s="4"/>
      <c r="J125" s="4"/>
      <c r="K125" s="4">
        <v>233</v>
      </c>
      <c r="L125" s="4">
        <v>26</v>
      </c>
      <c r="M125" s="4">
        <v>3</v>
      </c>
      <c r="N125" s="4" t="s">
        <v>3</v>
      </c>
      <c r="O125" s="4">
        <v>2</v>
      </c>
      <c r="P125" s="4"/>
      <c r="Q125" s="4"/>
      <c r="R125" s="4"/>
      <c r="S125" s="4"/>
      <c r="T125" s="4"/>
      <c r="U125" s="4"/>
      <c r="V125" s="4"/>
      <c r="W125" s="4">
        <v>0</v>
      </c>
      <c r="X125" s="4">
        <v>1</v>
      </c>
      <c r="Y125" s="4">
        <v>0</v>
      </c>
      <c r="Z125" s="4"/>
      <c r="AA125" s="4"/>
      <c r="AB125" s="4"/>
    </row>
    <row r="126" spans="1:28" x14ac:dyDescent="0.2">
      <c r="A126" s="4">
        <v>50</v>
      </c>
      <c r="B126" s="4">
        <v>0</v>
      </c>
      <c r="C126" s="4">
        <v>0</v>
      </c>
      <c r="D126" s="4">
        <v>1</v>
      </c>
      <c r="E126" s="4">
        <v>210</v>
      </c>
      <c r="F126" s="4">
        <f>ROUND(Source!X100,O126)</f>
        <v>90922.75</v>
      </c>
      <c r="G126" s="4" t="s">
        <v>230</v>
      </c>
      <c r="H126" s="4" t="s">
        <v>231</v>
      </c>
      <c r="I126" s="4"/>
      <c r="J126" s="4"/>
      <c r="K126" s="4">
        <v>210</v>
      </c>
      <c r="L126" s="4">
        <v>27</v>
      </c>
      <c r="M126" s="4">
        <v>3</v>
      </c>
      <c r="N126" s="4" t="s">
        <v>3</v>
      </c>
      <c r="O126" s="4">
        <v>2</v>
      </c>
      <c r="P126" s="4"/>
      <c r="Q126" s="4"/>
      <c r="R126" s="4"/>
      <c r="S126" s="4"/>
      <c r="T126" s="4"/>
      <c r="U126" s="4"/>
      <c r="V126" s="4"/>
      <c r="W126" s="4">
        <v>90922.75</v>
      </c>
      <c r="X126" s="4">
        <v>1</v>
      </c>
      <c r="Y126" s="4">
        <v>90922.75</v>
      </c>
      <c r="Z126" s="4"/>
      <c r="AA126" s="4"/>
      <c r="AB126" s="4"/>
    </row>
    <row r="127" spans="1:28" x14ac:dyDescent="0.2">
      <c r="A127" s="4">
        <v>50</v>
      </c>
      <c r="B127" s="4">
        <v>0</v>
      </c>
      <c r="C127" s="4">
        <v>0</v>
      </c>
      <c r="D127" s="4">
        <v>1</v>
      </c>
      <c r="E127" s="4">
        <v>211</v>
      </c>
      <c r="F127" s="4">
        <f>ROUND(Source!Y100,O127)</f>
        <v>43595.49</v>
      </c>
      <c r="G127" s="4" t="s">
        <v>232</v>
      </c>
      <c r="H127" s="4" t="s">
        <v>233</v>
      </c>
      <c r="I127" s="4"/>
      <c r="J127" s="4"/>
      <c r="K127" s="4">
        <v>211</v>
      </c>
      <c r="L127" s="4">
        <v>28</v>
      </c>
      <c r="M127" s="4">
        <v>3</v>
      </c>
      <c r="N127" s="4" t="s">
        <v>3</v>
      </c>
      <c r="O127" s="4">
        <v>2</v>
      </c>
      <c r="P127" s="4"/>
      <c r="Q127" s="4"/>
      <c r="R127" s="4"/>
      <c r="S127" s="4"/>
      <c r="T127" s="4"/>
      <c r="U127" s="4"/>
      <c r="V127" s="4"/>
      <c r="W127" s="4">
        <v>43595.49</v>
      </c>
      <c r="X127" s="4">
        <v>1</v>
      </c>
      <c r="Y127" s="4">
        <v>43595.49</v>
      </c>
      <c r="Z127" s="4"/>
      <c r="AA127" s="4"/>
      <c r="AB127" s="4"/>
    </row>
    <row r="128" spans="1:28" x14ac:dyDescent="0.2">
      <c r="A128" s="4">
        <v>50</v>
      </c>
      <c r="B128" s="4">
        <v>0</v>
      </c>
      <c r="C128" s="4">
        <v>0</v>
      </c>
      <c r="D128" s="4">
        <v>1</v>
      </c>
      <c r="E128" s="4">
        <v>224</v>
      </c>
      <c r="F128" s="4">
        <f>ROUND(Source!AR100,O128)</f>
        <v>880690.9</v>
      </c>
      <c r="G128" s="4" t="s">
        <v>234</v>
      </c>
      <c r="H128" s="4" t="s">
        <v>235</v>
      </c>
      <c r="I128" s="4"/>
      <c r="J128" s="4"/>
      <c r="K128" s="4">
        <v>224</v>
      </c>
      <c r="L128" s="4">
        <v>29</v>
      </c>
      <c r="M128" s="4">
        <v>3</v>
      </c>
      <c r="N128" s="4" t="s">
        <v>3</v>
      </c>
      <c r="O128" s="4">
        <v>2</v>
      </c>
      <c r="P128" s="4"/>
      <c r="Q128" s="4"/>
      <c r="R128" s="4"/>
      <c r="S128" s="4"/>
      <c r="T128" s="4"/>
      <c r="U128" s="4"/>
      <c r="V128" s="4"/>
      <c r="W128" s="4">
        <v>880690.9</v>
      </c>
      <c r="X128" s="4">
        <v>1</v>
      </c>
      <c r="Y128" s="4">
        <v>880690.9</v>
      </c>
      <c r="Z128" s="4"/>
      <c r="AA128" s="4"/>
      <c r="AB128" s="4"/>
    </row>
    <row r="129" spans="1:206" x14ac:dyDescent="0.2">
      <c r="A129" s="4">
        <v>50</v>
      </c>
      <c r="B129" s="4">
        <v>1</v>
      </c>
      <c r="C129" s="4">
        <v>0</v>
      </c>
      <c r="D129" s="4">
        <v>2</v>
      </c>
      <c r="E129" s="4">
        <v>0</v>
      </c>
      <c r="F129" s="4">
        <f>ROUND(F115,O129)</f>
        <v>65260.97</v>
      </c>
      <c r="G129" s="4" t="s">
        <v>236</v>
      </c>
      <c r="H129" s="4" t="s">
        <v>208</v>
      </c>
      <c r="I129" s="4"/>
      <c r="J129" s="4"/>
      <c r="K129" s="4">
        <v>212</v>
      </c>
      <c r="L129" s="4">
        <v>30</v>
      </c>
      <c r="M129" s="4">
        <v>0</v>
      </c>
      <c r="N129" s="4" t="s">
        <v>3</v>
      </c>
      <c r="O129" s="4">
        <v>2</v>
      </c>
      <c r="P129" s="4"/>
      <c r="Q129" s="4"/>
      <c r="R129" s="4"/>
      <c r="S129" s="4"/>
      <c r="T129" s="4"/>
      <c r="U129" s="4"/>
      <c r="V129" s="4"/>
      <c r="W129" s="4">
        <v>65260.97</v>
      </c>
      <c r="X129" s="4">
        <v>1</v>
      </c>
      <c r="Y129" s="4">
        <v>65260.97</v>
      </c>
      <c r="Z129" s="4"/>
      <c r="AA129" s="4"/>
      <c r="AB129" s="4"/>
    </row>
    <row r="130" spans="1:206" x14ac:dyDescent="0.2">
      <c r="A130" s="4">
        <v>50</v>
      </c>
      <c r="B130" s="4">
        <v>1</v>
      </c>
      <c r="C130" s="4">
        <v>0</v>
      </c>
      <c r="D130" s="4">
        <v>2</v>
      </c>
      <c r="E130" s="4">
        <v>0</v>
      </c>
      <c r="F130" s="4">
        <f>ROUND(F112,O130)</f>
        <v>232787.4</v>
      </c>
      <c r="G130" s="4" t="s">
        <v>237</v>
      </c>
      <c r="H130" s="4" t="s">
        <v>238</v>
      </c>
      <c r="I130" s="4"/>
      <c r="J130" s="4"/>
      <c r="K130" s="4">
        <v>212</v>
      </c>
      <c r="L130" s="4">
        <v>31</v>
      </c>
      <c r="M130" s="4">
        <v>0</v>
      </c>
      <c r="N130" s="4" t="s">
        <v>3</v>
      </c>
      <c r="O130" s="4">
        <v>2</v>
      </c>
      <c r="P130" s="4"/>
      <c r="Q130" s="4"/>
      <c r="R130" s="4"/>
      <c r="S130" s="4"/>
      <c r="T130" s="4"/>
      <c r="U130" s="4"/>
      <c r="V130" s="4"/>
      <c r="W130" s="4">
        <v>232787.4</v>
      </c>
      <c r="X130" s="4">
        <v>1</v>
      </c>
      <c r="Y130" s="4">
        <v>232787.4</v>
      </c>
      <c r="Z130" s="4"/>
      <c r="AA130" s="4"/>
      <c r="AB130" s="4"/>
    </row>
    <row r="131" spans="1:206" x14ac:dyDescent="0.2">
      <c r="A131" s="4">
        <v>50</v>
      </c>
      <c r="B131" s="4">
        <v>1</v>
      </c>
      <c r="C131" s="4">
        <v>0</v>
      </c>
      <c r="D131" s="4">
        <v>2</v>
      </c>
      <c r="E131" s="4">
        <v>0</v>
      </c>
      <c r="F131" s="4">
        <f>ROUND(F103,O131)</f>
        <v>448124.29</v>
      </c>
      <c r="G131" s="4" t="s">
        <v>239</v>
      </c>
      <c r="H131" s="4" t="s">
        <v>240</v>
      </c>
      <c r="I131" s="4"/>
      <c r="J131" s="4"/>
      <c r="K131" s="4">
        <v>212</v>
      </c>
      <c r="L131" s="4">
        <v>32</v>
      </c>
      <c r="M131" s="4">
        <v>0</v>
      </c>
      <c r="N131" s="4" t="s">
        <v>3</v>
      </c>
      <c r="O131" s="4">
        <v>2</v>
      </c>
      <c r="P131" s="4"/>
      <c r="Q131" s="4"/>
      <c r="R131" s="4"/>
      <c r="S131" s="4"/>
      <c r="T131" s="4"/>
      <c r="U131" s="4"/>
      <c r="V131" s="4"/>
      <c r="W131" s="4">
        <v>448124.29</v>
      </c>
      <c r="X131" s="4">
        <v>1</v>
      </c>
      <c r="Y131" s="4">
        <v>448124.29</v>
      </c>
      <c r="Z131" s="4"/>
      <c r="AA131" s="4"/>
      <c r="AB131" s="4"/>
    </row>
    <row r="132" spans="1:206" x14ac:dyDescent="0.2">
      <c r="A132" s="4">
        <v>50</v>
      </c>
      <c r="B132" s="4">
        <v>1</v>
      </c>
      <c r="C132" s="4">
        <v>0</v>
      </c>
      <c r="D132" s="4">
        <v>2</v>
      </c>
      <c r="E132" s="4">
        <v>0</v>
      </c>
      <c r="F132" s="4">
        <f>ROUND(F126,O132)</f>
        <v>90922.75</v>
      </c>
      <c r="G132" s="4" t="s">
        <v>241</v>
      </c>
      <c r="H132" s="4" t="s">
        <v>230</v>
      </c>
      <c r="I132" s="4"/>
      <c r="J132" s="4"/>
      <c r="K132" s="4">
        <v>212</v>
      </c>
      <c r="L132" s="4">
        <v>33</v>
      </c>
      <c r="M132" s="4">
        <v>0</v>
      </c>
      <c r="N132" s="4" t="s">
        <v>3</v>
      </c>
      <c r="O132" s="4">
        <v>2</v>
      </c>
      <c r="P132" s="4"/>
      <c r="Q132" s="4"/>
      <c r="R132" s="4"/>
      <c r="S132" s="4"/>
      <c r="T132" s="4"/>
      <c r="U132" s="4"/>
      <c r="V132" s="4"/>
      <c r="W132" s="4">
        <v>90922.75</v>
      </c>
      <c r="X132" s="4">
        <v>1</v>
      </c>
      <c r="Y132" s="4">
        <v>90922.75</v>
      </c>
      <c r="Z132" s="4"/>
      <c r="AA132" s="4"/>
      <c r="AB132" s="4"/>
    </row>
    <row r="133" spans="1:206" x14ac:dyDescent="0.2">
      <c r="A133" s="4">
        <v>50</v>
      </c>
      <c r="B133" s="4">
        <v>1</v>
      </c>
      <c r="C133" s="4">
        <v>0</v>
      </c>
      <c r="D133" s="4">
        <v>2</v>
      </c>
      <c r="E133" s="4">
        <v>0</v>
      </c>
      <c r="F133" s="4">
        <f>ROUND(F127,O133)</f>
        <v>43595.49</v>
      </c>
      <c r="G133" s="4" t="s">
        <v>242</v>
      </c>
      <c r="H133" s="4" t="s">
        <v>243</v>
      </c>
      <c r="I133" s="4"/>
      <c r="J133" s="4"/>
      <c r="K133" s="4">
        <v>212</v>
      </c>
      <c r="L133" s="4">
        <v>34</v>
      </c>
      <c r="M133" s="4">
        <v>0</v>
      </c>
      <c r="N133" s="4" t="s">
        <v>3</v>
      </c>
      <c r="O133" s="4">
        <v>2</v>
      </c>
      <c r="P133" s="4"/>
      <c r="Q133" s="4"/>
      <c r="R133" s="4"/>
      <c r="S133" s="4"/>
      <c r="T133" s="4"/>
      <c r="U133" s="4"/>
      <c r="V133" s="4"/>
      <c r="W133" s="4">
        <v>43595.49</v>
      </c>
      <c r="X133" s="4">
        <v>1</v>
      </c>
      <c r="Y133" s="4">
        <v>43595.49</v>
      </c>
      <c r="Z133" s="4"/>
      <c r="AA133" s="4"/>
      <c r="AB133" s="4"/>
    </row>
    <row r="134" spans="1:206" x14ac:dyDescent="0.2">
      <c r="A134" s="4">
        <v>50</v>
      </c>
      <c r="B134" s="4">
        <v>1</v>
      </c>
      <c r="C134" s="4">
        <v>0</v>
      </c>
      <c r="D134" s="4">
        <v>2</v>
      </c>
      <c r="E134" s="4">
        <v>0</v>
      </c>
      <c r="F134" s="4">
        <f>ROUND(F129+F130+F131+F132+F133,O134)</f>
        <v>880690.9</v>
      </c>
      <c r="G134" s="4" t="s">
        <v>244</v>
      </c>
      <c r="H134" s="4" t="s">
        <v>234</v>
      </c>
      <c r="I134" s="4"/>
      <c r="J134" s="4"/>
      <c r="K134" s="4">
        <v>212</v>
      </c>
      <c r="L134" s="4">
        <v>35</v>
      </c>
      <c r="M134" s="4">
        <v>0</v>
      </c>
      <c r="N134" s="4" t="s">
        <v>3</v>
      </c>
      <c r="O134" s="4">
        <v>2</v>
      </c>
      <c r="P134" s="4"/>
      <c r="Q134" s="4"/>
      <c r="R134" s="4"/>
      <c r="S134" s="4"/>
      <c r="T134" s="4"/>
      <c r="U134" s="4"/>
      <c r="V134" s="4"/>
      <c r="W134" s="4">
        <v>880690.9</v>
      </c>
      <c r="X134" s="4">
        <v>1</v>
      </c>
      <c r="Y134" s="4">
        <v>880690.9</v>
      </c>
      <c r="Z134" s="4"/>
      <c r="AA134" s="4"/>
      <c r="AB134" s="4"/>
    </row>
    <row r="135" spans="1:206" x14ac:dyDescent="0.2">
      <c r="A135" s="4">
        <v>50</v>
      </c>
      <c r="B135" s="4">
        <v>1</v>
      </c>
      <c r="C135" s="4">
        <v>0</v>
      </c>
      <c r="D135" s="4">
        <v>2</v>
      </c>
      <c r="E135" s="4">
        <v>0</v>
      </c>
      <c r="F135" s="4">
        <f>ROUND(F134*0.2,O135)</f>
        <v>176138.18</v>
      </c>
      <c r="G135" s="4" t="s">
        <v>245</v>
      </c>
      <c r="H135" s="4" t="s">
        <v>246</v>
      </c>
      <c r="I135" s="4"/>
      <c r="J135" s="4"/>
      <c r="K135" s="4">
        <v>212</v>
      </c>
      <c r="L135" s="4">
        <v>36</v>
      </c>
      <c r="M135" s="4">
        <v>0</v>
      </c>
      <c r="N135" s="4" t="s">
        <v>3</v>
      </c>
      <c r="O135" s="4">
        <v>2</v>
      </c>
      <c r="P135" s="4"/>
      <c r="Q135" s="4"/>
      <c r="R135" s="4"/>
      <c r="S135" s="4"/>
      <c r="T135" s="4"/>
      <c r="U135" s="4"/>
      <c r="V135" s="4"/>
      <c r="W135" s="4">
        <v>176138.18</v>
      </c>
      <c r="X135" s="4">
        <v>1</v>
      </c>
      <c r="Y135" s="4">
        <v>176138.18</v>
      </c>
      <c r="Z135" s="4"/>
      <c r="AA135" s="4"/>
      <c r="AB135" s="4"/>
    </row>
    <row r="136" spans="1:206" x14ac:dyDescent="0.2">
      <c r="A136" s="4">
        <v>50</v>
      </c>
      <c r="B136" s="4">
        <v>1</v>
      </c>
      <c r="C136" s="4">
        <v>0</v>
      </c>
      <c r="D136" s="4">
        <v>2</v>
      </c>
      <c r="E136" s="4">
        <v>213</v>
      </c>
      <c r="F136" s="4">
        <f>ROUND(F134+F135,O136)</f>
        <v>1056829.08</v>
      </c>
      <c r="G136" s="4" t="s">
        <v>247</v>
      </c>
      <c r="H136" s="4" t="s">
        <v>248</v>
      </c>
      <c r="I136" s="4"/>
      <c r="J136" s="4"/>
      <c r="K136" s="4">
        <v>212</v>
      </c>
      <c r="L136" s="4">
        <v>37</v>
      </c>
      <c r="M136" s="4">
        <v>0</v>
      </c>
      <c r="N136" s="4" t="s">
        <v>3</v>
      </c>
      <c r="O136" s="4">
        <v>2</v>
      </c>
      <c r="P136" s="4"/>
      <c r="Q136" s="4"/>
      <c r="R136" s="4"/>
      <c r="S136" s="4"/>
      <c r="T136" s="4"/>
      <c r="U136" s="4"/>
      <c r="V136" s="4"/>
      <c r="W136" s="4">
        <v>1056829.08</v>
      </c>
      <c r="X136" s="4">
        <v>1</v>
      </c>
      <c r="Y136" s="4">
        <v>1056829.08</v>
      </c>
      <c r="Z136" s="4"/>
      <c r="AA136" s="4"/>
      <c r="AB136" s="4"/>
    </row>
    <row r="138" spans="1:206" x14ac:dyDescent="0.2">
      <c r="A138" s="2">
        <v>51</v>
      </c>
      <c r="B138" s="2">
        <f>B12</f>
        <v>202</v>
      </c>
      <c r="C138" s="2">
        <f>A12</f>
        <v>1</v>
      </c>
      <c r="D138" s="2">
        <f>ROW(A12)</f>
        <v>12</v>
      </c>
      <c r="E138" s="2"/>
      <c r="F138" s="2" t="str">
        <f>IF(F12&lt;&gt;"",F12,"")</f>
        <v>Новый объект_(Копия)</v>
      </c>
      <c r="G138" s="2" t="str">
        <f>IF(G12&lt;&gt;"",G12,"")</f>
        <v>Строительство ЛЭП до ВРУ-0,4 кВ многоквартирного жилого дома по адресу: Чувашская Республика, г.Чебоксары, земельный участок с кадастровым номером 21:01:030312:7571 (бульвар Солнечный, поз.37)</v>
      </c>
      <c r="H138" s="2">
        <v>0</v>
      </c>
      <c r="I138" s="2"/>
      <c r="J138" s="2"/>
      <c r="K138" s="2"/>
      <c r="L138" s="2"/>
      <c r="M138" s="2"/>
      <c r="N138" s="2"/>
      <c r="O138" s="2">
        <f t="shared" ref="O138:T138" si="106">ROUND(O100,2)</f>
        <v>746172.66</v>
      </c>
      <c r="P138" s="2">
        <f t="shared" si="106"/>
        <v>448124.29</v>
      </c>
      <c r="Q138" s="2">
        <f t="shared" si="106"/>
        <v>232787.4</v>
      </c>
      <c r="R138" s="2">
        <f t="shared" si="106"/>
        <v>24739.69</v>
      </c>
      <c r="S138" s="2">
        <f t="shared" si="106"/>
        <v>65260.97</v>
      </c>
      <c r="T138" s="2">
        <f t="shared" si="106"/>
        <v>0</v>
      </c>
      <c r="U138" s="2">
        <f>U100</f>
        <v>224.83074999999999</v>
      </c>
      <c r="V138" s="2">
        <f>V100</f>
        <v>63.624150000000007</v>
      </c>
      <c r="W138" s="2">
        <f>ROUND(W100,2)</f>
        <v>0</v>
      </c>
      <c r="X138" s="2">
        <f>ROUND(X100,2)</f>
        <v>90922.75</v>
      </c>
      <c r="Y138" s="2">
        <f>ROUND(Y100,2)</f>
        <v>43595.49</v>
      </c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>
        <f t="shared" ref="AO138:BD138" si="107">ROUND(AO100,2)</f>
        <v>0</v>
      </c>
      <c r="AP138" s="2">
        <f t="shared" si="107"/>
        <v>0</v>
      </c>
      <c r="AQ138" s="2">
        <f t="shared" si="107"/>
        <v>0</v>
      </c>
      <c r="AR138" s="2">
        <f t="shared" si="107"/>
        <v>880690.9</v>
      </c>
      <c r="AS138" s="2">
        <f t="shared" si="107"/>
        <v>764972.92</v>
      </c>
      <c r="AT138" s="2">
        <f t="shared" si="107"/>
        <v>115717.98</v>
      </c>
      <c r="AU138" s="2">
        <f t="shared" si="107"/>
        <v>0</v>
      </c>
      <c r="AV138" s="2">
        <f t="shared" si="107"/>
        <v>448124.29</v>
      </c>
      <c r="AW138" s="2">
        <f t="shared" si="107"/>
        <v>448124.29</v>
      </c>
      <c r="AX138" s="2">
        <f t="shared" si="107"/>
        <v>0</v>
      </c>
      <c r="AY138" s="2">
        <f t="shared" si="107"/>
        <v>448124.29</v>
      </c>
      <c r="AZ138" s="2">
        <f t="shared" si="107"/>
        <v>0</v>
      </c>
      <c r="BA138" s="2">
        <f t="shared" si="107"/>
        <v>0</v>
      </c>
      <c r="BB138" s="2">
        <f t="shared" si="107"/>
        <v>0</v>
      </c>
      <c r="BC138" s="2">
        <f t="shared" si="107"/>
        <v>0</v>
      </c>
      <c r="BD138" s="2">
        <f t="shared" si="107"/>
        <v>0</v>
      </c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>
        <v>0</v>
      </c>
    </row>
    <row r="140" spans="1:206" x14ac:dyDescent="0.2">
      <c r="A140" s="4">
        <v>50</v>
      </c>
      <c r="B140" s="4">
        <v>0</v>
      </c>
      <c r="C140" s="4">
        <v>0</v>
      </c>
      <c r="D140" s="4">
        <v>1</v>
      </c>
      <c r="E140" s="4">
        <v>201</v>
      </c>
      <c r="F140" s="4">
        <f>ROUND(Source!O138,O140)</f>
        <v>746172.66</v>
      </c>
      <c r="G140" s="4" t="s">
        <v>182</v>
      </c>
      <c r="H140" s="4" t="s">
        <v>183</v>
      </c>
      <c r="I140" s="4"/>
      <c r="J140" s="4"/>
      <c r="K140" s="4">
        <v>201</v>
      </c>
      <c r="L140" s="4">
        <v>1</v>
      </c>
      <c r="M140" s="4">
        <v>3</v>
      </c>
      <c r="N140" s="4" t="s">
        <v>3</v>
      </c>
      <c r="O140" s="4">
        <v>2</v>
      </c>
      <c r="P140" s="4"/>
      <c r="Q140" s="4"/>
      <c r="R140" s="4"/>
      <c r="S140" s="4"/>
      <c r="T140" s="4"/>
      <c r="U140" s="4"/>
      <c r="V140" s="4"/>
      <c r="W140" s="4">
        <v>746172.66</v>
      </c>
      <c r="X140" s="4">
        <v>1</v>
      </c>
      <c r="Y140" s="4">
        <v>746172.66</v>
      </c>
      <c r="Z140" s="4"/>
      <c r="AA140" s="4"/>
      <c r="AB140" s="4"/>
    </row>
    <row r="141" spans="1:206" x14ac:dyDescent="0.2">
      <c r="A141" s="4">
        <v>50</v>
      </c>
      <c r="B141" s="4">
        <v>0</v>
      </c>
      <c r="C141" s="4">
        <v>0</v>
      </c>
      <c r="D141" s="4">
        <v>1</v>
      </c>
      <c r="E141" s="4">
        <v>202</v>
      </c>
      <c r="F141" s="4">
        <f>ROUND(Source!P138,O141)</f>
        <v>448124.29</v>
      </c>
      <c r="G141" s="4" t="s">
        <v>184</v>
      </c>
      <c r="H141" s="4" t="s">
        <v>185</v>
      </c>
      <c r="I141" s="4"/>
      <c r="J141" s="4"/>
      <c r="K141" s="4">
        <v>202</v>
      </c>
      <c r="L141" s="4">
        <v>2</v>
      </c>
      <c r="M141" s="4">
        <v>3</v>
      </c>
      <c r="N141" s="4" t="s">
        <v>3</v>
      </c>
      <c r="O141" s="4">
        <v>2</v>
      </c>
      <c r="P141" s="4"/>
      <c r="Q141" s="4"/>
      <c r="R141" s="4"/>
      <c r="S141" s="4"/>
      <c r="T141" s="4"/>
      <c r="U141" s="4"/>
      <c r="V141" s="4"/>
      <c r="W141" s="4">
        <v>448124.29</v>
      </c>
      <c r="X141" s="4">
        <v>1</v>
      </c>
      <c r="Y141" s="4">
        <v>448124.29</v>
      </c>
      <c r="Z141" s="4"/>
      <c r="AA141" s="4"/>
      <c r="AB141" s="4"/>
    </row>
    <row r="142" spans="1:206" x14ac:dyDescent="0.2">
      <c r="A142" s="4">
        <v>50</v>
      </c>
      <c r="B142" s="4">
        <v>0</v>
      </c>
      <c r="C142" s="4">
        <v>0</v>
      </c>
      <c r="D142" s="4">
        <v>1</v>
      </c>
      <c r="E142" s="4">
        <v>222</v>
      </c>
      <c r="F142" s="4">
        <f>ROUND(Source!AO138,O142)</f>
        <v>0</v>
      </c>
      <c r="G142" s="4" t="s">
        <v>186</v>
      </c>
      <c r="H142" s="4" t="s">
        <v>187</v>
      </c>
      <c r="I142" s="4"/>
      <c r="J142" s="4"/>
      <c r="K142" s="4">
        <v>222</v>
      </c>
      <c r="L142" s="4">
        <v>3</v>
      </c>
      <c r="M142" s="4">
        <v>3</v>
      </c>
      <c r="N142" s="4" t="s">
        <v>3</v>
      </c>
      <c r="O142" s="4">
        <v>2</v>
      </c>
      <c r="P142" s="4"/>
      <c r="Q142" s="4"/>
      <c r="R142" s="4"/>
      <c r="S142" s="4"/>
      <c r="T142" s="4"/>
      <c r="U142" s="4"/>
      <c r="V142" s="4"/>
      <c r="W142" s="4">
        <v>0</v>
      </c>
      <c r="X142" s="4">
        <v>1</v>
      </c>
      <c r="Y142" s="4">
        <v>0</v>
      </c>
      <c r="Z142" s="4"/>
      <c r="AA142" s="4"/>
      <c r="AB142" s="4"/>
    </row>
    <row r="143" spans="1:206" x14ac:dyDescent="0.2">
      <c r="A143" s="4">
        <v>50</v>
      </c>
      <c r="B143" s="4">
        <v>0</v>
      </c>
      <c r="C143" s="4">
        <v>0</v>
      </c>
      <c r="D143" s="4">
        <v>1</v>
      </c>
      <c r="E143" s="4">
        <v>225</v>
      </c>
      <c r="F143" s="4">
        <f>ROUND(Source!AV138,O143)</f>
        <v>448124.29</v>
      </c>
      <c r="G143" s="4" t="s">
        <v>188</v>
      </c>
      <c r="H143" s="4" t="s">
        <v>189</v>
      </c>
      <c r="I143" s="4"/>
      <c r="J143" s="4"/>
      <c r="K143" s="4">
        <v>225</v>
      </c>
      <c r="L143" s="4">
        <v>4</v>
      </c>
      <c r="M143" s="4">
        <v>3</v>
      </c>
      <c r="N143" s="4" t="s">
        <v>3</v>
      </c>
      <c r="O143" s="4">
        <v>2</v>
      </c>
      <c r="P143" s="4"/>
      <c r="Q143" s="4"/>
      <c r="R143" s="4"/>
      <c r="S143" s="4"/>
      <c r="T143" s="4"/>
      <c r="U143" s="4"/>
      <c r="V143" s="4"/>
      <c r="W143" s="4">
        <v>448124.29</v>
      </c>
      <c r="X143" s="4">
        <v>1</v>
      </c>
      <c r="Y143" s="4">
        <v>448124.29</v>
      </c>
      <c r="Z143" s="4"/>
      <c r="AA143" s="4"/>
      <c r="AB143" s="4"/>
    </row>
    <row r="144" spans="1:206" x14ac:dyDescent="0.2">
      <c r="A144" s="4">
        <v>50</v>
      </c>
      <c r="B144" s="4">
        <v>0</v>
      </c>
      <c r="C144" s="4">
        <v>0</v>
      </c>
      <c r="D144" s="4">
        <v>1</v>
      </c>
      <c r="E144" s="4">
        <v>226</v>
      </c>
      <c r="F144" s="4">
        <f>ROUND(Source!AW138,O144)</f>
        <v>448124.29</v>
      </c>
      <c r="G144" s="4" t="s">
        <v>190</v>
      </c>
      <c r="H144" s="4" t="s">
        <v>191</v>
      </c>
      <c r="I144" s="4"/>
      <c r="J144" s="4"/>
      <c r="K144" s="4">
        <v>226</v>
      </c>
      <c r="L144" s="4">
        <v>5</v>
      </c>
      <c r="M144" s="4">
        <v>3</v>
      </c>
      <c r="N144" s="4" t="s">
        <v>3</v>
      </c>
      <c r="O144" s="4">
        <v>2</v>
      </c>
      <c r="P144" s="4"/>
      <c r="Q144" s="4"/>
      <c r="R144" s="4"/>
      <c r="S144" s="4"/>
      <c r="T144" s="4"/>
      <c r="U144" s="4"/>
      <c r="V144" s="4"/>
      <c r="W144" s="4">
        <v>448124.29</v>
      </c>
      <c r="X144" s="4">
        <v>1</v>
      </c>
      <c r="Y144" s="4">
        <v>448124.29</v>
      </c>
      <c r="Z144" s="4"/>
      <c r="AA144" s="4"/>
      <c r="AB144" s="4"/>
    </row>
    <row r="145" spans="1:28" x14ac:dyDescent="0.2">
      <c r="A145" s="4">
        <v>50</v>
      </c>
      <c r="B145" s="4">
        <v>0</v>
      </c>
      <c r="C145" s="4">
        <v>0</v>
      </c>
      <c r="D145" s="4">
        <v>1</v>
      </c>
      <c r="E145" s="4">
        <v>227</v>
      </c>
      <c r="F145" s="4">
        <f>ROUND(Source!AX138,O145)</f>
        <v>0</v>
      </c>
      <c r="G145" s="4" t="s">
        <v>192</v>
      </c>
      <c r="H145" s="4" t="s">
        <v>193</v>
      </c>
      <c r="I145" s="4"/>
      <c r="J145" s="4"/>
      <c r="K145" s="4">
        <v>227</v>
      </c>
      <c r="L145" s="4">
        <v>6</v>
      </c>
      <c r="M145" s="4">
        <v>3</v>
      </c>
      <c r="N145" s="4" t="s">
        <v>3</v>
      </c>
      <c r="O145" s="4">
        <v>2</v>
      </c>
      <c r="P145" s="4"/>
      <c r="Q145" s="4"/>
      <c r="R145" s="4"/>
      <c r="S145" s="4"/>
      <c r="T145" s="4"/>
      <c r="U145" s="4"/>
      <c r="V145" s="4"/>
      <c r="W145" s="4">
        <v>0</v>
      </c>
      <c r="X145" s="4">
        <v>1</v>
      </c>
      <c r="Y145" s="4">
        <v>0</v>
      </c>
      <c r="Z145" s="4"/>
      <c r="AA145" s="4"/>
      <c r="AB145" s="4"/>
    </row>
    <row r="146" spans="1:28" x14ac:dyDescent="0.2">
      <c r="A146" s="4">
        <v>50</v>
      </c>
      <c r="B146" s="4">
        <v>0</v>
      </c>
      <c r="C146" s="4">
        <v>0</v>
      </c>
      <c r="D146" s="4">
        <v>1</v>
      </c>
      <c r="E146" s="4">
        <v>228</v>
      </c>
      <c r="F146" s="4">
        <f>ROUND(Source!AY138,O146)</f>
        <v>448124.29</v>
      </c>
      <c r="G146" s="4" t="s">
        <v>194</v>
      </c>
      <c r="H146" s="4" t="s">
        <v>195</v>
      </c>
      <c r="I146" s="4"/>
      <c r="J146" s="4"/>
      <c r="K146" s="4">
        <v>228</v>
      </c>
      <c r="L146" s="4">
        <v>7</v>
      </c>
      <c r="M146" s="4">
        <v>3</v>
      </c>
      <c r="N146" s="4" t="s">
        <v>3</v>
      </c>
      <c r="O146" s="4">
        <v>2</v>
      </c>
      <c r="P146" s="4"/>
      <c r="Q146" s="4"/>
      <c r="R146" s="4"/>
      <c r="S146" s="4"/>
      <c r="T146" s="4"/>
      <c r="U146" s="4"/>
      <c r="V146" s="4"/>
      <c r="W146" s="4">
        <v>448124.29</v>
      </c>
      <c r="X146" s="4">
        <v>1</v>
      </c>
      <c r="Y146" s="4">
        <v>448124.29</v>
      </c>
      <c r="Z146" s="4"/>
      <c r="AA146" s="4"/>
      <c r="AB146" s="4"/>
    </row>
    <row r="147" spans="1:28" x14ac:dyDescent="0.2">
      <c r="A147" s="4">
        <v>50</v>
      </c>
      <c r="B147" s="4">
        <v>0</v>
      </c>
      <c r="C147" s="4">
        <v>0</v>
      </c>
      <c r="D147" s="4">
        <v>1</v>
      </c>
      <c r="E147" s="4">
        <v>216</v>
      </c>
      <c r="F147" s="4">
        <f>ROUND(Source!AP138,O147)</f>
        <v>0</v>
      </c>
      <c r="G147" s="4" t="s">
        <v>196</v>
      </c>
      <c r="H147" s="4" t="s">
        <v>197</v>
      </c>
      <c r="I147" s="4"/>
      <c r="J147" s="4"/>
      <c r="K147" s="4">
        <v>216</v>
      </c>
      <c r="L147" s="4">
        <v>8</v>
      </c>
      <c r="M147" s="4">
        <v>3</v>
      </c>
      <c r="N147" s="4" t="s">
        <v>3</v>
      </c>
      <c r="O147" s="4">
        <v>2</v>
      </c>
      <c r="P147" s="4"/>
      <c r="Q147" s="4"/>
      <c r="R147" s="4"/>
      <c r="S147" s="4"/>
      <c r="T147" s="4"/>
      <c r="U147" s="4"/>
      <c r="V147" s="4"/>
      <c r="W147" s="4">
        <v>0</v>
      </c>
      <c r="X147" s="4">
        <v>1</v>
      </c>
      <c r="Y147" s="4">
        <v>0</v>
      </c>
      <c r="Z147" s="4"/>
      <c r="AA147" s="4"/>
      <c r="AB147" s="4"/>
    </row>
    <row r="148" spans="1:28" x14ac:dyDescent="0.2">
      <c r="A148" s="4">
        <v>50</v>
      </c>
      <c r="B148" s="4">
        <v>0</v>
      </c>
      <c r="C148" s="4">
        <v>0</v>
      </c>
      <c r="D148" s="4">
        <v>1</v>
      </c>
      <c r="E148" s="4">
        <v>223</v>
      </c>
      <c r="F148" s="4">
        <f>ROUND(Source!AQ138,O148)</f>
        <v>0</v>
      </c>
      <c r="G148" s="4" t="s">
        <v>198</v>
      </c>
      <c r="H148" s="4" t="s">
        <v>199</v>
      </c>
      <c r="I148" s="4"/>
      <c r="J148" s="4"/>
      <c r="K148" s="4">
        <v>223</v>
      </c>
      <c r="L148" s="4">
        <v>9</v>
      </c>
      <c r="M148" s="4">
        <v>3</v>
      </c>
      <c r="N148" s="4" t="s">
        <v>3</v>
      </c>
      <c r="O148" s="4">
        <v>2</v>
      </c>
      <c r="P148" s="4"/>
      <c r="Q148" s="4"/>
      <c r="R148" s="4"/>
      <c r="S148" s="4"/>
      <c r="T148" s="4"/>
      <c r="U148" s="4"/>
      <c r="V148" s="4"/>
      <c r="W148" s="4">
        <v>0</v>
      </c>
      <c r="X148" s="4">
        <v>1</v>
      </c>
      <c r="Y148" s="4">
        <v>0</v>
      </c>
      <c r="Z148" s="4"/>
      <c r="AA148" s="4"/>
      <c r="AB148" s="4"/>
    </row>
    <row r="149" spans="1:28" x14ac:dyDescent="0.2">
      <c r="A149" s="4">
        <v>50</v>
      </c>
      <c r="B149" s="4">
        <v>0</v>
      </c>
      <c r="C149" s="4">
        <v>0</v>
      </c>
      <c r="D149" s="4">
        <v>1</v>
      </c>
      <c r="E149" s="4">
        <v>229</v>
      </c>
      <c r="F149" s="4">
        <f>ROUND(Source!AZ138,O149)</f>
        <v>0</v>
      </c>
      <c r="G149" s="4" t="s">
        <v>200</v>
      </c>
      <c r="H149" s="4" t="s">
        <v>201</v>
      </c>
      <c r="I149" s="4"/>
      <c r="J149" s="4"/>
      <c r="K149" s="4">
        <v>229</v>
      </c>
      <c r="L149" s="4">
        <v>10</v>
      </c>
      <c r="M149" s="4">
        <v>3</v>
      </c>
      <c r="N149" s="4" t="s">
        <v>3</v>
      </c>
      <c r="O149" s="4">
        <v>2</v>
      </c>
      <c r="P149" s="4"/>
      <c r="Q149" s="4"/>
      <c r="R149" s="4"/>
      <c r="S149" s="4"/>
      <c r="T149" s="4"/>
      <c r="U149" s="4"/>
      <c r="V149" s="4"/>
      <c r="W149" s="4">
        <v>0</v>
      </c>
      <c r="X149" s="4">
        <v>1</v>
      </c>
      <c r="Y149" s="4">
        <v>0</v>
      </c>
      <c r="Z149" s="4"/>
      <c r="AA149" s="4"/>
      <c r="AB149" s="4"/>
    </row>
    <row r="150" spans="1:28" x14ac:dyDescent="0.2">
      <c r="A150" s="4">
        <v>50</v>
      </c>
      <c r="B150" s="4">
        <v>0</v>
      </c>
      <c r="C150" s="4">
        <v>0</v>
      </c>
      <c r="D150" s="4">
        <v>1</v>
      </c>
      <c r="E150" s="4">
        <v>203</v>
      </c>
      <c r="F150" s="4">
        <f>ROUND(Source!Q138,O150)</f>
        <v>232787.4</v>
      </c>
      <c r="G150" s="4" t="s">
        <v>202</v>
      </c>
      <c r="H150" s="4" t="s">
        <v>203</v>
      </c>
      <c r="I150" s="4"/>
      <c r="J150" s="4"/>
      <c r="K150" s="4">
        <v>203</v>
      </c>
      <c r="L150" s="4">
        <v>11</v>
      </c>
      <c r="M150" s="4">
        <v>3</v>
      </c>
      <c r="N150" s="4" t="s">
        <v>3</v>
      </c>
      <c r="O150" s="4">
        <v>2</v>
      </c>
      <c r="P150" s="4"/>
      <c r="Q150" s="4"/>
      <c r="R150" s="4"/>
      <c r="S150" s="4"/>
      <c r="T150" s="4"/>
      <c r="U150" s="4"/>
      <c r="V150" s="4"/>
      <c r="W150" s="4">
        <v>232787.4</v>
      </c>
      <c r="X150" s="4">
        <v>1</v>
      </c>
      <c r="Y150" s="4">
        <v>232787.4</v>
      </c>
      <c r="Z150" s="4"/>
      <c r="AA150" s="4"/>
      <c r="AB150" s="4"/>
    </row>
    <row r="151" spans="1:28" x14ac:dyDescent="0.2">
      <c r="A151" s="4">
        <v>50</v>
      </c>
      <c r="B151" s="4">
        <v>0</v>
      </c>
      <c r="C151" s="4">
        <v>0</v>
      </c>
      <c r="D151" s="4">
        <v>1</v>
      </c>
      <c r="E151" s="4">
        <v>231</v>
      </c>
      <c r="F151" s="4">
        <f>ROUND(Source!BB138,O151)</f>
        <v>0</v>
      </c>
      <c r="G151" s="4" t="s">
        <v>204</v>
      </c>
      <c r="H151" s="4" t="s">
        <v>205</v>
      </c>
      <c r="I151" s="4"/>
      <c r="J151" s="4"/>
      <c r="K151" s="4">
        <v>231</v>
      </c>
      <c r="L151" s="4">
        <v>12</v>
      </c>
      <c r="M151" s="4">
        <v>3</v>
      </c>
      <c r="N151" s="4" t="s">
        <v>3</v>
      </c>
      <c r="O151" s="4">
        <v>2</v>
      </c>
      <c r="P151" s="4"/>
      <c r="Q151" s="4"/>
      <c r="R151" s="4"/>
      <c r="S151" s="4"/>
      <c r="T151" s="4"/>
      <c r="U151" s="4"/>
      <c r="V151" s="4"/>
      <c r="W151" s="4">
        <v>0</v>
      </c>
      <c r="X151" s="4">
        <v>1</v>
      </c>
      <c r="Y151" s="4">
        <v>0</v>
      </c>
      <c r="Z151" s="4"/>
      <c r="AA151" s="4"/>
      <c r="AB151" s="4"/>
    </row>
    <row r="152" spans="1:28" x14ac:dyDescent="0.2">
      <c r="A152" s="4">
        <v>50</v>
      </c>
      <c r="B152" s="4">
        <v>0</v>
      </c>
      <c r="C152" s="4">
        <v>0</v>
      </c>
      <c r="D152" s="4">
        <v>1</v>
      </c>
      <c r="E152" s="4">
        <v>204</v>
      </c>
      <c r="F152" s="4">
        <f>ROUND(Source!R138,O152)</f>
        <v>24739.69</v>
      </c>
      <c r="G152" s="4" t="s">
        <v>206</v>
      </c>
      <c r="H152" s="4" t="s">
        <v>207</v>
      </c>
      <c r="I152" s="4"/>
      <c r="J152" s="4"/>
      <c r="K152" s="4">
        <v>204</v>
      </c>
      <c r="L152" s="4">
        <v>13</v>
      </c>
      <c r="M152" s="4">
        <v>3</v>
      </c>
      <c r="N152" s="4" t="s">
        <v>3</v>
      </c>
      <c r="O152" s="4">
        <v>2</v>
      </c>
      <c r="P152" s="4"/>
      <c r="Q152" s="4"/>
      <c r="R152" s="4"/>
      <c r="S152" s="4"/>
      <c r="T152" s="4"/>
      <c r="U152" s="4"/>
      <c r="V152" s="4"/>
      <c r="W152" s="4">
        <v>24739.69</v>
      </c>
      <c r="X152" s="4">
        <v>1</v>
      </c>
      <c r="Y152" s="4">
        <v>24739.69</v>
      </c>
      <c r="Z152" s="4"/>
      <c r="AA152" s="4"/>
      <c r="AB152" s="4"/>
    </row>
    <row r="153" spans="1:28" x14ac:dyDescent="0.2">
      <c r="A153" s="4">
        <v>50</v>
      </c>
      <c r="B153" s="4">
        <v>0</v>
      </c>
      <c r="C153" s="4">
        <v>0</v>
      </c>
      <c r="D153" s="4">
        <v>1</v>
      </c>
      <c r="E153" s="4">
        <v>205</v>
      </c>
      <c r="F153" s="4">
        <f>ROUND(Source!S138,O153)</f>
        <v>65260.97</v>
      </c>
      <c r="G153" s="4" t="s">
        <v>208</v>
      </c>
      <c r="H153" s="4" t="s">
        <v>209</v>
      </c>
      <c r="I153" s="4"/>
      <c r="J153" s="4"/>
      <c r="K153" s="4">
        <v>205</v>
      </c>
      <c r="L153" s="4">
        <v>14</v>
      </c>
      <c r="M153" s="4">
        <v>3</v>
      </c>
      <c r="N153" s="4" t="s">
        <v>3</v>
      </c>
      <c r="O153" s="4">
        <v>2</v>
      </c>
      <c r="P153" s="4"/>
      <c r="Q153" s="4"/>
      <c r="R153" s="4"/>
      <c r="S153" s="4"/>
      <c r="T153" s="4"/>
      <c r="U153" s="4"/>
      <c r="V153" s="4"/>
      <c r="W153" s="4">
        <v>65260.97</v>
      </c>
      <c r="X153" s="4">
        <v>1</v>
      </c>
      <c r="Y153" s="4">
        <v>65260.97</v>
      </c>
      <c r="Z153" s="4"/>
      <c r="AA153" s="4"/>
      <c r="AB153" s="4"/>
    </row>
    <row r="154" spans="1:28" x14ac:dyDescent="0.2">
      <c r="A154" s="4">
        <v>50</v>
      </c>
      <c r="B154" s="4">
        <v>0</v>
      </c>
      <c r="C154" s="4">
        <v>0</v>
      </c>
      <c r="D154" s="4">
        <v>1</v>
      </c>
      <c r="E154" s="4">
        <v>232</v>
      </c>
      <c r="F154" s="4">
        <f>ROUND(Source!BC138,O154)</f>
        <v>0</v>
      </c>
      <c r="G154" s="4" t="s">
        <v>210</v>
      </c>
      <c r="H154" s="4" t="s">
        <v>211</v>
      </c>
      <c r="I154" s="4"/>
      <c r="J154" s="4"/>
      <c r="K154" s="4">
        <v>232</v>
      </c>
      <c r="L154" s="4">
        <v>15</v>
      </c>
      <c r="M154" s="4">
        <v>3</v>
      </c>
      <c r="N154" s="4" t="s">
        <v>3</v>
      </c>
      <c r="O154" s="4">
        <v>2</v>
      </c>
      <c r="P154" s="4"/>
      <c r="Q154" s="4"/>
      <c r="R154" s="4"/>
      <c r="S154" s="4"/>
      <c r="T154" s="4"/>
      <c r="U154" s="4"/>
      <c r="V154" s="4"/>
      <c r="W154" s="4">
        <v>0</v>
      </c>
      <c r="X154" s="4">
        <v>1</v>
      </c>
      <c r="Y154" s="4">
        <v>0</v>
      </c>
      <c r="Z154" s="4"/>
      <c r="AA154" s="4"/>
      <c r="AB154" s="4"/>
    </row>
    <row r="155" spans="1:28" x14ac:dyDescent="0.2">
      <c r="A155" s="4">
        <v>50</v>
      </c>
      <c r="B155" s="4">
        <v>0</v>
      </c>
      <c r="C155" s="4">
        <v>0</v>
      </c>
      <c r="D155" s="4">
        <v>1</v>
      </c>
      <c r="E155" s="4">
        <v>214</v>
      </c>
      <c r="F155" s="4">
        <f>ROUND(Source!AS138,O155)</f>
        <v>764972.92</v>
      </c>
      <c r="G155" s="4" t="s">
        <v>212</v>
      </c>
      <c r="H155" s="4" t="s">
        <v>213</v>
      </c>
      <c r="I155" s="4"/>
      <c r="J155" s="4"/>
      <c r="K155" s="4">
        <v>214</v>
      </c>
      <c r="L155" s="4">
        <v>16</v>
      </c>
      <c r="M155" s="4">
        <v>3</v>
      </c>
      <c r="N155" s="4" t="s">
        <v>3</v>
      </c>
      <c r="O155" s="4">
        <v>2</v>
      </c>
      <c r="P155" s="4"/>
      <c r="Q155" s="4"/>
      <c r="R155" s="4"/>
      <c r="S155" s="4"/>
      <c r="T155" s="4"/>
      <c r="U155" s="4"/>
      <c r="V155" s="4"/>
      <c r="W155" s="4">
        <v>764972.92</v>
      </c>
      <c r="X155" s="4">
        <v>1</v>
      </c>
      <c r="Y155" s="4">
        <v>764972.92</v>
      </c>
      <c r="Z155" s="4"/>
      <c r="AA155" s="4"/>
      <c r="AB155" s="4"/>
    </row>
    <row r="156" spans="1:28" x14ac:dyDescent="0.2">
      <c r="A156" s="4">
        <v>50</v>
      </c>
      <c r="B156" s="4">
        <v>0</v>
      </c>
      <c r="C156" s="4">
        <v>0</v>
      </c>
      <c r="D156" s="4">
        <v>1</v>
      </c>
      <c r="E156" s="4">
        <v>215</v>
      </c>
      <c r="F156" s="4">
        <f>ROUND(Source!AT138,O156)</f>
        <v>115717.98</v>
      </c>
      <c r="G156" s="4" t="s">
        <v>214</v>
      </c>
      <c r="H156" s="4" t="s">
        <v>215</v>
      </c>
      <c r="I156" s="4"/>
      <c r="J156" s="4"/>
      <c r="K156" s="4">
        <v>215</v>
      </c>
      <c r="L156" s="4">
        <v>17</v>
      </c>
      <c r="M156" s="4">
        <v>3</v>
      </c>
      <c r="N156" s="4" t="s">
        <v>3</v>
      </c>
      <c r="O156" s="4">
        <v>2</v>
      </c>
      <c r="P156" s="4"/>
      <c r="Q156" s="4"/>
      <c r="R156" s="4"/>
      <c r="S156" s="4"/>
      <c r="T156" s="4"/>
      <c r="U156" s="4"/>
      <c r="V156" s="4"/>
      <c r="W156" s="4">
        <v>115717.98</v>
      </c>
      <c r="X156" s="4">
        <v>1</v>
      </c>
      <c r="Y156" s="4">
        <v>115717.98</v>
      </c>
      <c r="Z156" s="4"/>
      <c r="AA156" s="4"/>
      <c r="AB156" s="4"/>
    </row>
    <row r="157" spans="1:28" x14ac:dyDescent="0.2">
      <c r="A157" s="4">
        <v>50</v>
      </c>
      <c r="B157" s="4">
        <v>0</v>
      </c>
      <c r="C157" s="4">
        <v>0</v>
      </c>
      <c r="D157" s="4">
        <v>1</v>
      </c>
      <c r="E157" s="4">
        <v>217</v>
      </c>
      <c r="F157" s="4">
        <f>ROUND(Source!AU138,O157)</f>
        <v>0</v>
      </c>
      <c r="G157" s="4" t="s">
        <v>216</v>
      </c>
      <c r="H157" s="4" t="s">
        <v>217</v>
      </c>
      <c r="I157" s="4"/>
      <c r="J157" s="4"/>
      <c r="K157" s="4">
        <v>217</v>
      </c>
      <c r="L157" s="4">
        <v>18</v>
      </c>
      <c r="M157" s="4">
        <v>3</v>
      </c>
      <c r="N157" s="4" t="s">
        <v>3</v>
      </c>
      <c r="O157" s="4">
        <v>2</v>
      </c>
      <c r="P157" s="4"/>
      <c r="Q157" s="4"/>
      <c r="R157" s="4"/>
      <c r="S157" s="4"/>
      <c r="T157" s="4"/>
      <c r="U157" s="4"/>
      <c r="V157" s="4"/>
      <c r="W157" s="4">
        <v>0</v>
      </c>
      <c r="X157" s="4">
        <v>1</v>
      </c>
      <c r="Y157" s="4">
        <v>0</v>
      </c>
      <c r="Z157" s="4"/>
      <c r="AA157" s="4"/>
      <c r="AB157" s="4"/>
    </row>
    <row r="158" spans="1:28" x14ac:dyDescent="0.2">
      <c r="A158" s="4">
        <v>50</v>
      </c>
      <c r="B158" s="4">
        <v>0</v>
      </c>
      <c r="C158" s="4">
        <v>0</v>
      </c>
      <c r="D158" s="4">
        <v>1</v>
      </c>
      <c r="E158" s="4">
        <v>230</v>
      </c>
      <c r="F158" s="4">
        <f>ROUND(Source!BA138,O158)</f>
        <v>0</v>
      </c>
      <c r="G158" s="4" t="s">
        <v>218</v>
      </c>
      <c r="H158" s="4" t="s">
        <v>219</v>
      </c>
      <c r="I158" s="4"/>
      <c r="J158" s="4"/>
      <c r="K158" s="4">
        <v>230</v>
      </c>
      <c r="L158" s="4">
        <v>19</v>
      </c>
      <c r="M158" s="4">
        <v>3</v>
      </c>
      <c r="N158" s="4" t="s">
        <v>3</v>
      </c>
      <c r="O158" s="4">
        <v>2</v>
      </c>
      <c r="P158" s="4"/>
      <c r="Q158" s="4"/>
      <c r="R158" s="4"/>
      <c r="S158" s="4"/>
      <c r="T158" s="4"/>
      <c r="U158" s="4"/>
      <c r="V158" s="4"/>
      <c r="W158" s="4">
        <v>0</v>
      </c>
      <c r="X158" s="4">
        <v>1</v>
      </c>
      <c r="Y158" s="4">
        <v>0</v>
      </c>
      <c r="Z158" s="4"/>
      <c r="AA158" s="4"/>
      <c r="AB158" s="4"/>
    </row>
    <row r="159" spans="1:28" x14ac:dyDescent="0.2">
      <c r="A159" s="4">
        <v>50</v>
      </c>
      <c r="B159" s="4">
        <v>0</v>
      </c>
      <c r="C159" s="4">
        <v>0</v>
      </c>
      <c r="D159" s="4">
        <v>1</v>
      </c>
      <c r="E159" s="4">
        <v>206</v>
      </c>
      <c r="F159" s="4">
        <f>ROUND(Source!T138,O159)</f>
        <v>0</v>
      </c>
      <c r="G159" s="4" t="s">
        <v>220</v>
      </c>
      <c r="H159" s="4" t="s">
        <v>221</v>
      </c>
      <c r="I159" s="4"/>
      <c r="J159" s="4"/>
      <c r="K159" s="4">
        <v>206</v>
      </c>
      <c r="L159" s="4">
        <v>20</v>
      </c>
      <c r="M159" s="4">
        <v>3</v>
      </c>
      <c r="N159" s="4" t="s">
        <v>3</v>
      </c>
      <c r="O159" s="4">
        <v>2</v>
      </c>
      <c r="P159" s="4"/>
      <c r="Q159" s="4"/>
      <c r="R159" s="4"/>
      <c r="S159" s="4"/>
      <c r="T159" s="4"/>
      <c r="U159" s="4"/>
      <c r="V159" s="4"/>
      <c r="W159" s="4">
        <v>0</v>
      </c>
      <c r="X159" s="4">
        <v>1</v>
      </c>
      <c r="Y159" s="4">
        <v>0</v>
      </c>
      <c r="Z159" s="4"/>
      <c r="AA159" s="4"/>
      <c r="AB159" s="4"/>
    </row>
    <row r="160" spans="1:28" x14ac:dyDescent="0.2">
      <c r="A160" s="4">
        <v>50</v>
      </c>
      <c r="B160" s="4">
        <v>0</v>
      </c>
      <c r="C160" s="4">
        <v>0</v>
      </c>
      <c r="D160" s="4">
        <v>1</v>
      </c>
      <c r="E160" s="4">
        <v>207</v>
      </c>
      <c r="F160" s="4">
        <f>Source!U138</f>
        <v>224.83074999999999</v>
      </c>
      <c r="G160" s="4" t="s">
        <v>222</v>
      </c>
      <c r="H160" s="4" t="s">
        <v>223</v>
      </c>
      <c r="I160" s="4"/>
      <c r="J160" s="4"/>
      <c r="K160" s="4">
        <v>207</v>
      </c>
      <c r="L160" s="4">
        <v>21</v>
      </c>
      <c r="M160" s="4">
        <v>3</v>
      </c>
      <c r="N160" s="4" t="s">
        <v>3</v>
      </c>
      <c r="O160" s="4">
        <v>-1</v>
      </c>
      <c r="P160" s="4"/>
      <c r="Q160" s="4"/>
      <c r="R160" s="4"/>
      <c r="S160" s="4"/>
      <c r="T160" s="4"/>
      <c r="U160" s="4"/>
      <c r="V160" s="4"/>
      <c r="W160" s="4">
        <v>224.83074999999999</v>
      </c>
      <c r="X160" s="4">
        <v>1</v>
      </c>
      <c r="Y160" s="4">
        <v>224.83074999999999</v>
      </c>
      <c r="Z160" s="4"/>
      <c r="AA160" s="4"/>
      <c r="AB160" s="4"/>
    </row>
    <row r="161" spans="1:28" x14ac:dyDescent="0.2">
      <c r="A161" s="4">
        <v>50</v>
      </c>
      <c r="B161" s="4">
        <v>0</v>
      </c>
      <c r="C161" s="4">
        <v>0</v>
      </c>
      <c r="D161" s="4">
        <v>1</v>
      </c>
      <c r="E161" s="4">
        <v>208</v>
      </c>
      <c r="F161" s="4">
        <f>Source!V138</f>
        <v>63.624150000000007</v>
      </c>
      <c r="G161" s="4" t="s">
        <v>224</v>
      </c>
      <c r="H161" s="4" t="s">
        <v>225</v>
      </c>
      <c r="I161" s="4"/>
      <c r="J161" s="4"/>
      <c r="K161" s="4">
        <v>208</v>
      </c>
      <c r="L161" s="4">
        <v>22</v>
      </c>
      <c r="M161" s="4">
        <v>3</v>
      </c>
      <c r="N161" s="4" t="s">
        <v>3</v>
      </c>
      <c r="O161" s="4">
        <v>-1</v>
      </c>
      <c r="P161" s="4"/>
      <c r="Q161" s="4"/>
      <c r="R161" s="4"/>
      <c r="S161" s="4"/>
      <c r="T161" s="4"/>
      <c r="U161" s="4"/>
      <c r="V161" s="4"/>
      <c r="W161" s="4">
        <v>63.62415</v>
      </c>
      <c r="X161" s="4">
        <v>1</v>
      </c>
      <c r="Y161" s="4">
        <v>63.62415</v>
      </c>
      <c r="Z161" s="4"/>
      <c r="AA161" s="4"/>
      <c r="AB161" s="4"/>
    </row>
    <row r="162" spans="1:28" x14ac:dyDescent="0.2">
      <c r="A162" s="4">
        <v>50</v>
      </c>
      <c r="B162" s="4">
        <v>0</v>
      </c>
      <c r="C162" s="4">
        <v>0</v>
      </c>
      <c r="D162" s="4">
        <v>1</v>
      </c>
      <c r="E162" s="4">
        <v>209</v>
      </c>
      <c r="F162" s="4">
        <f>ROUND(Source!W138,O162)</f>
        <v>0</v>
      </c>
      <c r="G162" s="4" t="s">
        <v>226</v>
      </c>
      <c r="H162" s="4" t="s">
        <v>227</v>
      </c>
      <c r="I162" s="4"/>
      <c r="J162" s="4"/>
      <c r="K162" s="4">
        <v>209</v>
      </c>
      <c r="L162" s="4">
        <v>23</v>
      </c>
      <c r="M162" s="4">
        <v>3</v>
      </c>
      <c r="N162" s="4" t="s">
        <v>3</v>
      </c>
      <c r="O162" s="4">
        <v>2</v>
      </c>
      <c r="P162" s="4"/>
      <c r="Q162" s="4"/>
      <c r="R162" s="4"/>
      <c r="S162" s="4"/>
      <c r="T162" s="4"/>
      <c r="U162" s="4"/>
      <c r="V162" s="4"/>
      <c r="W162" s="4">
        <v>0</v>
      </c>
      <c r="X162" s="4">
        <v>1</v>
      </c>
      <c r="Y162" s="4">
        <v>0</v>
      </c>
      <c r="Z162" s="4"/>
      <c r="AA162" s="4"/>
      <c r="AB162" s="4"/>
    </row>
    <row r="163" spans="1:28" x14ac:dyDescent="0.2">
      <c r="A163" s="4">
        <v>50</v>
      </c>
      <c r="B163" s="4">
        <v>0</v>
      </c>
      <c r="C163" s="4">
        <v>0</v>
      </c>
      <c r="D163" s="4">
        <v>1</v>
      </c>
      <c r="E163" s="4">
        <v>233</v>
      </c>
      <c r="F163" s="4">
        <f>ROUND(Source!BD138,O163)</f>
        <v>0</v>
      </c>
      <c r="G163" s="4" t="s">
        <v>228</v>
      </c>
      <c r="H163" s="4" t="s">
        <v>229</v>
      </c>
      <c r="I163" s="4"/>
      <c r="J163" s="4"/>
      <c r="K163" s="4">
        <v>233</v>
      </c>
      <c r="L163" s="4">
        <v>24</v>
      </c>
      <c r="M163" s="4">
        <v>3</v>
      </c>
      <c r="N163" s="4" t="s">
        <v>3</v>
      </c>
      <c r="O163" s="4">
        <v>2</v>
      </c>
      <c r="P163" s="4"/>
      <c r="Q163" s="4"/>
      <c r="R163" s="4"/>
      <c r="S163" s="4"/>
      <c r="T163" s="4"/>
      <c r="U163" s="4"/>
      <c r="V163" s="4"/>
      <c r="W163" s="4">
        <v>0</v>
      </c>
      <c r="X163" s="4">
        <v>1</v>
      </c>
      <c r="Y163" s="4">
        <v>0</v>
      </c>
      <c r="Z163" s="4"/>
      <c r="AA163" s="4"/>
      <c r="AB163" s="4"/>
    </row>
    <row r="164" spans="1:28" x14ac:dyDescent="0.2">
      <c r="A164" s="4">
        <v>50</v>
      </c>
      <c r="B164" s="4">
        <v>0</v>
      </c>
      <c r="C164" s="4">
        <v>0</v>
      </c>
      <c r="D164" s="4">
        <v>1</v>
      </c>
      <c r="E164" s="4">
        <v>210</v>
      </c>
      <c r="F164" s="4">
        <f>ROUND(Source!X138,O164)</f>
        <v>90922.75</v>
      </c>
      <c r="G164" s="4" t="s">
        <v>230</v>
      </c>
      <c r="H164" s="4" t="s">
        <v>231</v>
      </c>
      <c r="I164" s="4"/>
      <c r="J164" s="4"/>
      <c r="K164" s="4">
        <v>210</v>
      </c>
      <c r="L164" s="4">
        <v>25</v>
      </c>
      <c r="M164" s="4">
        <v>3</v>
      </c>
      <c r="N164" s="4" t="s">
        <v>3</v>
      </c>
      <c r="O164" s="4">
        <v>2</v>
      </c>
      <c r="P164" s="4"/>
      <c r="Q164" s="4"/>
      <c r="R164" s="4"/>
      <c r="S164" s="4"/>
      <c r="T164" s="4"/>
      <c r="U164" s="4"/>
      <c r="V164" s="4"/>
      <c r="W164" s="4">
        <v>90922.75</v>
      </c>
      <c r="X164" s="4">
        <v>1</v>
      </c>
      <c r="Y164" s="4">
        <v>90922.75</v>
      </c>
      <c r="Z164" s="4"/>
      <c r="AA164" s="4"/>
      <c r="AB164" s="4"/>
    </row>
    <row r="165" spans="1:28" x14ac:dyDescent="0.2">
      <c r="A165" s="4">
        <v>50</v>
      </c>
      <c r="B165" s="4">
        <v>0</v>
      </c>
      <c r="C165" s="4">
        <v>0</v>
      </c>
      <c r="D165" s="4">
        <v>1</v>
      </c>
      <c r="E165" s="4">
        <v>211</v>
      </c>
      <c r="F165" s="4">
        <f>ROUND(Source!Y138,O165)</f>
        <v>43595.49</v>
      </c>
      <c r="G165" s="4" t="s">
        <v>232</v>
      </c>
      <c r="H165" s="4" t="s">
        <v>233</v>
      </c>
      <c r="I165" s="4"/>
      <c r="J165" s="4"/>
      <c r="K165" s="4">
        <v>211</v>
      </c>
      <c r="L165" s="4">
        <v>26</v>
      </c>
      <c r="M165" s="4">
        <v>3</v>
      </c>
      <c r="N165" s="4" t="s">
        <v>3</v>
      </c>
      <c r="O165" s="4">
        <v>2</v>
      </c>
      <c r="P165" s="4"/>
      <c r="Q165" s="4"/>
      <c r="R165" s="4"/>
      <c r="S165" s="4"/>
      <c r="T165" s="4"/>
      <c r="U165" s="4"/>
      <c r="V165" s="4"/>
      <c r="W165" s="4">
        <v>43595.49</v>
      </c>
      <c r="X165" s="4">
        <v>1</v>
      </c>
      <c r="Y165" s="4">
        <v>43595.49</v>
      </c>
      <c r="Z165" s="4"/>
      <c r="AA165" s="4"/>
      <c r="AB165" s="4"/>
    </row>
    <row r="166" spans="1:28" x14ac:dyDescent="0.2">
      <c r="A166" s="4">
        <v>50</v>
      </c>
      <c r="B166" s="4">
        <v>0</v>
      </c>
      <c r="C166" s="4">
        <v>0</v>
      </c>
      <c r="D166" s="4">
        <v>1</v>
      </c>
      <c r="E166" s="4">
        <v>224</v>
      </c>
      <c r="F166" s="4">
        <f>ROUND(Source!AR138,O166)</f>
        <v>880690.9</v>
      </c>
      <c r="G166" s="4" t="s">
        <v>234</v>
      </c>
      <c r="H166" s="4" t="s">
        <v>235</v>
      </c>
      <c r="I166" s="4"/>
      <c r="J166" s="4"/>
      <c r="K166" s="4">
        <v>224</v>
      </c>
      <c r="L166" s="4">
        <v>27</v>
      </c>
      <c r="M166" s="4">
        <v>3</v>
      </c>
      <c r="N166" s="4" t="s">
        <v>3</v>
      </c>
      <c r="O166" s="4">
        <v>2</v>
      </c>
      <c r="P166" s="4"/>
      <c r="Q166" s="4"/>
      <c r="R166" s="4"/>
      <c r="S166" s="4"/>
      <c r="T166" s="4"/>
      <c r="U166" s="4"/>
      <c r="V166" s="4"/>
      <c r="W166" s="4">
        <v>880690.9</v>
      </c>
      <c r="X166" s="4">
        <v>1</v>
      </c>
      <c r="Y166" s="4">
        <v>880690.9</v>
      </c>
      <c r="Z166" s="4"/>
      <c r="AA166" s="4"/>
      <c r="AB166" s="4"/>
    </row>
    <row r="167" spans="1:28" x14ac:dyDescent="0.2">
      <c r="A167" s="4">
        <v>50</v>
      </c>
      <c r="B167" s="4">
        <v>1</v>
      </c>
      <c r="C167" s="4">
        <v>0</v>
      </c>
      <c r="D167" s="4">
        <v>2</v>
      </c>
      <c r="E167" s="4">
        <v>0</v>
      </c>
      <c r="F167" s="4">
        <f>ROUND(F153,O167)</f>
        <v>65260.97</v>
      </c>
      <c r="G167" s="4" t="s">
        <v>236</v>
      </c>
      <c r="H167" s="4" t="s">
        <v>208</v>
      </c>
      <c r="I167" s="4"/>
      <c r="J167" s="4"/>
      <c r="K167" s="4">
        <v>212</v>
      </c>
      <c r="L167" s="4">
        <v>28</v>
      </c>
      <c r="M167" s="4">
        <v>0</v>
      </c>
      <c r="N167" s="4" t="s">
        <v>3</v>
      </c>
      <c r="O167" s="4">
        <v>2</v>
      </c>
      <c r="P167" s="4"/>
      <c r="Q167" s="4"/>
      <c r="R167" s="4"/>
      <c r="S167" s="4"/>
      <c r="T167" s="4"/>
      <c r="U167" s="4"/>
      <c r="V167" s="4"/>
      <c r="W167" s="4">
        <v>65260.97</v>
      </c>
      <c r="X167" s="4">
        <v>1</v>
      </c>
      <c r="Y167" s="4">
        <v>65260.97</v>
      </c>
      <c r="Z167" s="4"/>
      <c r="AA167" s="4"/>
      <c r="AB167" s="4"/>
    </row>
    <row r="168" spans="1:28" x14ac:dyDescent="0.2">
      <c r="A168" s="4">
        <v>50</v>
      </c>
      <c r="B168" s="4">
        <v>1</v>
      </c>
      <c r="C168" s="4">
        <v>0</v>
      </c>
      <c r="D168" s="4">
        <v>2</v>
      </c>
      <c r="E168" s="4">
        <v>0</v>
      </c>
      <c r="F168" s="4">
        <f>ROUND(F150,O168)</f>
        <v>232787.4</v>
      </c>
      <c r="G168" s="4" t="s">
        <v>237</v>
      </c>
      <c r="H168" s="4" t="s">
        <v>238</v>
      </c>
      <c r="I168" s="4"/>
      <c r="J168" s="4"/>
      <c r="K168" s="4">
        <v>212</v>
      </c>
      <c r="L168" s="4">
        <v>29</v>
      </c>
      <c r="M168" s="4">
        <v>0</v>
      </c>
      <c r="N168" s="4" t="s">
        <v>3</v>
      </c>
      <c r="O168" s="4">
        <v>2</v>
      </c>
      <c r="P168" s="4"/>
      <c r="Q168" s="4"/>
      <c r="R168" s="4"/>
      <c r="S168" s="4"/>
      <c r="T168" s="4"/>
      <c r="U168" s="4"/>
      <c r="V168" s="4"/>
      <c r="W168" s="4">
        <v>232787.4</v>
      </c>
      <c r="X168" s="4">
        <v>1</v>
      </c>
      <c r="Y168" s="4">
        <v>232787.4</v>
      </c>
      <c r="Z168" s="4"/>
      <c r="AA168" s="4"/>
      <c r="AB168" s="4"/>
    </row>
    <row r="169" spans="1:28" x14ac:dyDescent="0.2">
      <c r="A169" s="4">
        <v>50</v>
      </c>
      <c r="B169" s="4">
        <v>1</v>
      </c>
      <c r="C169" s="4">
        <v>0</v>
      </c>
      <c r="D169" s="4">
        <v>2</v>
      </c>
      <c r="E169" s="4">
        <v>0</v>
      </c>
      <c r="F169" s="4">
        <f>ROUND(F141,O169)</f>
        <v>448124.29</v>
      </c>
      <c r="G169" s="4" t="s">
        <v>239</v>
      </c>
      <c r="H169" s="4" t="s">
        <v>240</v>
      </c>
      <c r="I169" s="4"/>
      <c r="J169" s="4"/>
      <c r="K169" s="4">
        <v>212</v>
      </c>
      <c r="L169" s="4">
        <v>30</v>
      </c>
      <c r="M169" s="4">
        <v>0</v>
      </c>
      <c r="N169" s="4" t="s">
        <v>3</v>
      </c>
      <c r="O169" s="4">
        <v>2</v>
      </c>
      <c r="P169" s="4"/>
      <c r="Q169" s="4"/>
      <c r="R169" s="4"/>
      <c r="S169" s="4"/>
      <c r="T169" s="4"/>
      <c r="U169" s="4"/>
      <c r="V169" s="4"/>
      <c r="W169" s="4">
        <v>448124.29</v>
      </c>
      <c r="X169" s="4">
        <v>1</v>
      </c>
      <c r="Y169" s="4">
        <v>448124.29</v>
      </c>
      <c r="Z169" s="4"/>
      <c r="AA169" s="4"/>
      <c r="AB169" s="4"/>
    </row>
    <row r="170" spans="1:28" x14ac:dyDescent="0.2">
      <c r="A170" s="4">
        <v>50</v>
      </c>
      <c r="B170" s="4">
        <v>1</v>
      </c>
      <c r="C170" s="4">
        <v>0</v>
      </c>
      <c r="D170" s="4">
        <v>2</v>
      </c>
      <c r="E170" s="4">
        <v>0</v>
      </c>
      <c r="F170" s="4">
        <f>ROUND(F164,O170)</f>
        <v>90922.75</v>
      </c>
      <c r="G170" s="4" t="s">
        <v>241</v>
      </c>
      <c r="H170" s="4" t="s">
        <v>230</v>
      </c>
      <c r="I170" s="4"/>
      <c r="J170" s="4"/>
      <c r="K170" s="4">
        <v>212</v>
      </c>
      <c r="L170" s="4">
        <v>31</v>
      </c>
      <c r="M170" s="4">
        <v>0</v>
      </c>
      <c r="N170" s="4" t="s">
        <v>3</v>
      </c>
      <c r="O170" s="4">
        <v>2</v>
      </c>
      <c r="P170" s="4"/>
      <c r="Q170" s="4"/>
      <c r="R170" s="4"/>
      <c r="S170" s="4"/>
      <c r="T170" s="4"/>
      <c r="U170" s="4"/>
      <c r="V170" s="4"/>
      <c r="W170" s="4">
        <v>90922.75</v>
      </c>
      <c r="X170" s="4">
        <v>1</v>
      </c>
      <c r="Y170" s="4">
        <v>90922.75</v>
      </c>
      <c r="Z170" s="4"/>
      <c r="AA170" s="4"/>
      <c r="AB170" s="4"/>
    </row>
    <row r="171" spans="1:28" x14ac:dyDescent="0.2">
      <c r="A171" s="4">
        <v>50</v>
      </c>
      <c r="B171" s="4">
        <v>1</v>
      </c>
      <c r="C171" s="4">
        <v>0</v>
      </c>
      <c r="D171" s="4">
        <v>2</v>
      </c>
      <c r="E171" s="4">
        <v>0</v>
      </c>
      <c r="F171" s="4">
        <f>ROUND(F165,O171)</f>
        <v>43595.49</v>
      </c>
      <c r="G171" s="4" t="s">
        <v>242</v>
      </c>
      <c r="H171" s="4" t="s">
        <v>243</v>
      </c>
      <c r="I171" s="4"/>
      <c r="J171" s="4"/>
      <c r="K171" s="4">
        <v>212</v>
      </c>
      <c r="L171" s="4">
        <v>32</v>
      </c>
      <c r="M171" s="4">
        <v>0</v>
      </c>
      <c r="N171" s="4" t="s">
        <v>3</v>
      </c>
      <c r="O171" s="4">
        <v>2</v>
      </c>
      <c r="P171" s="4"/>
      <c r="Q171" s="4"/>
      <c r="R171" s="4"/>
      <c r="S171" s="4"/>
      <c r="T171" s="4"/>
      <c r="U171" s="4"/>
      <c r="V171" s="4"/>
      <c r="W171" s="4">
        <v>43595.49</v>
      </c>
      <c r="X171" s="4">
        <v>1</v>
      </c>
      <c r="Y171" s="4">
        <v>43595.49</v>
      </c>
      <c r="Z171" s="4"/>
      <c r="AA171" s="4"/>
      <c r="AB171" s="4"/>
    </row>
    <row r="172" spans="1:28" x14ac:dyDescent="0.2">
      <c r="A172" s="4">
        <v>50</v>
      </c>
      <c r="B172" s="4">
        <v>1</v>
      </c>
      <c r="C172" s="4">
        <v>0</v>
      </c>
      <c r="D172" s="4">
        <v>2</v>
      </c>
      <c r="E172" s="4">
        <v>0</v>
      </c>
      <c r="F172" s="4">
        <f>ROUND(F167+F168+F169+F170+F171,O172)</f>
        <v>880690.9</v>
      </c>
      <c r="G172" s="4" t="s">
        <v>244</v>
      </c>
      <c r="H172" s="4" t="s">
        <v>234</v>
      </c>
      <c r="I172" s="4"/>
      <c r="J172" s="4"/>
      <c r="K172" s="4">
        <v>212</v>
      </c>
      <c r="L172" s="4">
        <v>33</v>
      </c>
      <c r="M172" s="4">
        <v>0</v>
      </c>
      <c r="N172" s="4" t="s">
        <v>3</v>
      </c>
      <c r="O172" s="4">
        <v>2</v>
      </c>
      <c r="P172" s="4"/>
      <c r="Q172" s="4"/>
      <c r="R172" s="4"/>
      <c r="S172" s="4"/>
      <c r="T172" s="4"/>
      <c r="U172" s="4"/>
      <c r="V172" s="4"/>
      <c r="W172" s="4">
        <v>880690.9</v>
      </c>
      <c r="X172" s="4">
        <v>1</v>
      </c>
      <c r="Y172" s="4">
        <v>880690.9</v>
      </c>
      <c r="Z172" s="4"/>
      <c r="AA172" s="4"/>
      <c r="AB172" s="4"/>
    </row>
    <row r="173" spans="1:28" x14ac:dyDescent="0.2">
      <c r="A173" s="4">
        <v>50</v>
      </c>
      <c r="B173" s="4">
        <v>1</v>
      </c>
      <c r="C173" s="4">
        <v>0</v>
      </c>
      <c r="D173" s="4">
        <v>2</v>
      </c>
      <c r="E173" s="4">
        <v>0</v>
      </c>
      <c r="F173" s="4">
        <f>ROUND(F172*0.2,O173)</f>
        <v>176138.18</v>
      </c>
      <c r="G173" s="4" t="s">
        <v>245</v>
      </c>
      <c r="H173" s="4" t="s">
        <v>246</v>
      </c>
      <c r="I173" s="4"/>
      <c r="J173" s="4"/>
      <c r="K173" s="4">
        <v>212</v>
      </c>
      <c r="L173" s="4">
        <v>34</v>
      </c>
      <c r="M173" s="4">
        <v>0</v>
      </c>
      <c r="N173" s="4" t="s">
        <v>3</v>
      </c>
      <c r="O173" s="4">
        <v>2</v>
      </c>
      <c r="P173" s="4"/>
      <c r="Q173" s="4"/>
      <c r="R173" s="4"/>
      <c r="S173" s="4"/>
      <c r="T173" s="4"/>
      <c r="U173" s="4"/>
      <c r="V173" s="4"/>
      <c r="W173" s="4">
        <v>176138.18</v>
      </c>
      <c r="X173" s="4">
        <v>1</v>
      </c>
      <c r="Y173" s="4">
        <v>176138.18</v>
      </c>
      <c r="Z173" s="4"/>
      <c r="AA173" s="4"/>
      <c r="AB173" s="4"/>
    </row>
    <row r="174" spans="1:28" x14ac:dyDescent="0.2">
      <c r="A174" s="4">
        <v>50</v>
      </c>
      <c r="B174" s="4">
        <v>1</v>
      </c>
      <c r="C174" s="4">
        <v>0</v>
      </c>
      <c r="D174" s="4">
        <v>2</v>
      </c>
      <c r="E174" s="4">
        <v>213</v>
      </c>
      <c r="F174" s="4">
        <f>ROUND(F172+F173,O174)</f>
        <v>1056829.08</v>
      </c>
      <c r="G174" s="4" t="s">
        <v>247</v>
      </c>
      <c r="H174" s="4" t="s">
        <v>248</v>
      </c>
      <c r="I174" s="4"/>
      <c r="J174" s="4"/>
      <c r="K174" s="4">
        <v>212</v>
      </c>
      <c r="L174" s="4">
        <v>35</v>
      </c>
      <c r="M174" s="4">
        <v>0</v>
      </c>
      <c r="N174" s="4" t="s">
        <v>3</v>
      </c>
      <c r="O174" s="4">
        <v>2</v>
      </c>
      <c r="P174" s="4"/>
      <c r="Q174" s="4"/>
      <c r="R174" s="4"/>
      <c r="S174" s="4"/>
      <c r="T174" s="4"/>
      <c r="U174" s="4"/>
      <c r="V174" s="4"/>
      <c r="W174" s="4">
        <v>1056829.08</v>
      </c>
      <c r="X174" s="4">
        <v>1</v>
      </c>
      <c r="Y174" s="4">
        <v>1056829.08</v>
      </c>
      <c r="Z174" s="4"/>
      <c r="AA174" s="4"/>
      <c r="AB174" s="4"/>
    </row>
    <row r="177" spans="1:16" x14ac:dyDescent="0.2">
      <c r="A177">
        <v>70</v>
      </c>
      <c r="B177">
        <v>1</v>
      </c>
      <c r="D177">
        <v>1</v>
      </c>
      <c r="E177" t="s">
        <v>249</v>
      </c>
      <c r="F177" t="s">
        <v>250</v>
      </c>
      <c r="G177">
        <v>1</v>
      </c>
      <c r="H177">
        <v>0</v>
      </c>
      <c r="I177" t="s">
        <v>3</v>
      </c>
      <c r="J177">
        <v>1</v>
      </c>
      <c r="K177">
        <v>0</v>
      </c>
      <c r="L177" t="s">
        <v>3</v>
      </c>
      <c r="M177" t="s">
        <v>3</v>
      </c>
      <c r="N177">
        <v>0</v>
      </c>
      <c r="P177" t="s">
        <v>251</v>
      </c>
    </row>
    <row r="178" spans="1:16" x14ac:dyDescent="0.2">
      <c r="A178">
        <v>70</v>
      </c>
      <c r="B178">
        <v>1</v>
      </c>
      <c r="D178">
        <v>2</v>
      </c>
      <c r="E178" t="s">
        <v>252</v>
      </c>
      <c r="F178" t="s">
        <v>253</v>
      </c>
      <c r="G178">
        <v>0</v>
      </c>
      <c r="H178">
        <v>0</v>
      </c>
      <c r="I178" t="s">
        <v>3</v>
      </c>
      <c r="J178">
        <v>1</v>
      </c>
      <c r="K178">
        <v>0</v>
      </c>
      <c r="L178" t="s">
        <v>3</v>
      </c>
      <c r="M178" t="s">
        <v>3</v>
      </c>
      <c r="N178">
        <v>0</v>
      </c>
      <c r="P178" t="s">
        <v>254</v>
      </c>
    </row>
    <row r="179" spans="1:16" x14ac:dyDescent="0.2">
      <c r="A179">
        <v>70</v>
      </c>
      <c r="B179">
        <v>1</v>
      </c>
      <c r="D179">
        <v>3</v>
      </c>
      <c r="E179" t="s">
        <v>255</v>
      </c>
      <c r="F179" t="s">
        <v>256</v>
      </c>
      <c r="G179">
        <v>0</v>
      </c>
      <c r="H179">
        <v>0</v>
      </c>
      <c r="I179" t="s">
        <v>3</v>
      </c>
      <c r="J179">
        <v>1</v>
      </c>
      <c r="K179">
        <v>0</v>
      </c>
      <c r="L179" t="s">
        <v>3</v>
      </c>
      <c r="M179" t="s">
        <v>3</v>
      </c>
      <c r="N179">
        <v>0</v>
      </c>
      <c r="P179" t="s">
        <v>257</v>
      </c>
    </row>
    <row r="180" spans="1:16" x14ac:dyDescent="0.2">
      <c r="A180">
        <v>70</v>
      </c>
      <c r="B180">
        <v>1</v>
      </c>
      <c r="D180">
        <v>4</v>
      </c>
      <c r="E180" t="s">
        <v>258</v>
      </c>
      <c r="F180" t="s">
        <v>259</v>
      </c>
      <c r="G180">
        <v>1</v>
      </c>
      <c r="H180">
        <v>0</v>
      </c>
      <c r="I180" t="s">
        <v>3</v>
      </c>
      <c r="J180">
        <v>2</v>
      </c>
      <c r="K180">
        <v>0</v>
      </c>
      <c r="L180" t="s">
        <v>3</v>
      </c>
      <c r="M180" t="s">
        <v>3</v>
      </c>
      <c r="N180">
        <v>0</v>
      </c>
      <c r="P180" t="s">
        <v>3</v>
      </c>
    </row>
    <row r="181" spans="1:16" x14ac:dyDescent="0.2">
      <c r="A181">
        <v>70</v>
      </c>
      <c r="B181">
        <v>1</v>
      </c>
      <c r="D181">
        <v>5</v>
      </c>
      <c r="E181" t="s">
        <v>260</v>
      </c>
      <c r="F181" t="s">
        <v>261</v>
      </c>
      <c r="G181">
        <v>0</v>
      </c>
      <c r="H181">
        <v>0</v>
      </c>
      <c r="I181" t="s">
        <v>3</v>
      </c>
      <c r="J181">
        <v>2</v>
      </c>
      <c r="K181">
        <v>0</v>
      </c>
      <c r="L181" t="s">
        <v>3</v>
      </c>
      <c r="M181" t="s">
        <v>3</v>
      </c>
      <c r="N181">
        <v>0</v>
      </c>
      <c r="P181" t="s">
        <v>3</v>
      </c>
    </row>
    <row r="182" spans="1:16" x14ac:dyDescent="0.2">
      <c r="A182">
        <v>70</v>
      </c>
      <c r="B182">
        <v>1</v>
      </c>
      <c r="D182">
        <v>6</v>
      </c>
      <c r="E182" t="s">
        <v>262</v>
      </c>
      <c r="F182" t="s">
        <v>263</v>
      </c>
      <c r="G182">
        <v>0</v>
      </c>
      <c r="H182">
        <v>0</v>
      </c>
      <c r="I182" t="s">
        <v>3</v>
      </c>
      <c r="J182">
        <v>2</v>
      </c>
      <c r="K182">
        <v>0</v>
      </c>
      <c r="L182" t="s">
        <v>3</v>
      </c>
      <c r="M182" t="s">
        <v>3</v>
      </c>
      <c r="N182">
        <v>0</v>
      </c>
      <c r="P182" t="s">
        <v>3</v>
      </c>
    </row>
    <row r="183" spans="1:16" x14ac:dyDescent="0.2">
      <c r="A183">
        <v>70</v>
      </c>
      <c r="B183">
        <v>1</v>
      </c>
      <c r="D183">
        <v>7</v>
      </c>
      <c r="E183" t="s">
        <v>264</v>
      </c>
      <c r="F183" t="s">
        <v>265</v>
      </c>
      <c r="G183">
        <v>0</v>
      </c>
      <c r="H183">
        <v>0</v>
      </c>
      <c r="I183" t="s">
        <v>266</v>
      </c>
      <c r="J183">
        <v>0</v>
      </c>
      <c r="K183">
        <v>0</v>
      </c>
      <c r="L183" t="s">
        <v>3</v>
      </c>
      <c r="M183" t="s">
        <v>3</v>
      </c>
      <c r="N183">
        <v>0</v>
      </c>
      <c r="P183" t="s">
        <v>267</v>
      </c>
    </row>
    <row r="184" spans="1:16" x14ac:dyDescent="0.2">
      <c r="A184">
        <v>70</v>
      </c>
      <c r="B184">
        <v>1</v>
      </c>
      <c r="D184">
        <v>8</v>
      </c>
      <c r="E184" t="s">
        <v>268</v>
      </c>
      <c r="F184" t="s">
        <v>269</v>
      </c>
      <c r="G184">
        <v>1</v>
      </c>
      <c r="H184">
        <v>0</v>
      </c>
      <c r="I184" t="s">
        <v>3</v>
      </c>
      <c r="J184">
        <v>5</v>
      </c>
      <c r="K184">
        <v>0</v>
      </c>
      <c r="L184" t="s">
        <v>3</v>
      </c>
      <c r="M184" t="s">
        <v>3</v>
      </c>
      <c r="N184">
        <v>0</v>
      </c>
      <c r="P184" t="s">
        <v>3</v>
      </c>
    </row>
    <row r="185" spans="1:16" x14ac:dyDescent="0.2">
      <c r="A185">
        <v>70</v>
      </c>
      <c r="B185">
        <v>1</v>
      </c>
      <c r="D185">
        <v>9</v>
      </c>
      <c r="E185" t="s">
        <v>270</v>
      </c>
      <c r="F185" t="s">
        <v>271</v>
      </c>
      <c r="G185">
        <v>0</v>
      </c>
      <c r="H185">
        <v>0</v>
      </c>
      <c r="I185" t="s">
        <v>3</v>
      </c>
      <c r="J185">
        <v>5</v>
      </c>
      <c r="K185">
        <v>0</v>
      </c>
      <c r="L185" t="s">
        <v>3</v>
      </c>
      <c r="M185" t="s">
        <v>3</v>
      </c>
      <c r="N185">
        <v>0</v>
      </c>
      <c r="P185" t="s">
        <v>272</v>
      </c>
    </row>
    <row r="186" spans="1:16" x14ac:dyDescent="0.2">
      <c r="A186">
        <v>70</v>
      </c>
      <c r="B186">
        <v>1</v>
      </c>
      <c r="D186">
        <v>10</v>
      </c>
      <c r="E186" t="s">
        <v>273</v>
      </c>
      <c r="F186" t="s">
        <v>274</v>
      </c>
      <c r="G186">
        <v>0</v>
      </c>
      <c r="H186">
        <v>0</v>
      </c>
      <c r="I186" t="s">
        <v>275</v>
      </c>
      <c r="J186">
        <v>5</v>
      </c>
      <c r="K186">
        <v>0</v>
      </c>
      <c r="L186" t="s">
        <v>3</v>
      </c>
      <c r="M186" t="s">
        <v>3</v>
      </c>
      <c r="N186">
        <v>0</v>
      </c>
      <c r="P186" t="s">
        <v>276</v>
      </c>
    </row>
    <row r="187" spans="1:16" x14ac:dyDescent="0.2">
      <c r="A187">
        <v>70</v>
      </c>
      <c r="B187">
        <v>1</v>
      </c>
      <c r="D187">
        <v>11</v>
      </c>
      <c r="E187" t="s">
        <v>277</v>
      </c>
      <c r="F187" t="s">
        <v>278</v>
      </c>
      <c r="G187">
        <v>0</v>
      </c>
      <c r="H187">
        <v>0</v>
      </c>
      <c r="I187" t="s">
        <v>279</v>
      </c>
      <c r="J187">
        <v>0</v>
      </c>
      <c r="K187">
        <v>0</v>
      </c>
      <c r="L187" t="s">
        <v>3</v>
      </c>
      <c r="M187" t="s">
        <v>3</v>
      </c>
      <c r="N187">
        <v>0</v>
      </c>
      <c r="P187" t="s">
        <v>280</v>
      </c>
    </row>
    <row r="188" spans="1:16" x14ac:dyDescent="0.2">
      <c r="A188">
        <v>70</v>
      </c>
      <c r="B188">
        <v>1</v>
      </c>
      <c r="D188">
        <v>12</v>
      </c>
      <c r="E188" t="s">
        <v>281</v>
      </c>
      <c r="F188" t="s">
        <v>282</v>
      </c>
      <c r="G188">
        <v>0</v>
      </c>
      <c r="H188">
        <v>0</v>
      </c>
      <c r="I188" t="s">
        <v>283</v>
      </c>
      <c r="J188">
        <v>0</v>
      </c>
      <c r="K188">
        <v>0</v>
      </c>
      <c r="L188" t="s">
        <v>3</v>
      </c>
      <c r="M188" t="s">
        <v>3</v>
      </c>
      <c r="N188">
        <v>0</v>
      </c>
      <c r="P188" t="s">
        <v>284</v>
      </c>
    </row>
    <row r="189" spans="1:16" x14ac:dyDescent="0.2">
      <c r="A189">
        <v>70</v>
      </c>
      <c r="B189">
        <v>1</v>
      </c>
      <c r="D189">
        <v>13</v>
      </c>
      <c r="E189" t="s">
        <v>285</v>
      </c>
      <c r="F189" t="s">
        <v>286</v>
      </c>
      <c r="G189">
        <v>0</v>
      </c>
      <c r="H189">
        <v>0</v>
      </c>
      <c r="I189" t="s">
        <v>287</v>
      </c>
      <c r="J189">
        <v>0</v>
      </c>
      <c r="K189">
        <v>0</v>
      </c>
      <c r="L189" t="s">
        <v>3</v>
      </c>
      <c r="M189" t="s">
        <v>3</v>
      </c>
      <c r="N189">
        <v>0</v>
      </c>
      <c r="P189" t="s">
        <v>288</v>
      </c>
    </row>
    <row r="190" spans="1:16" x14ac:dyDescent="0.2">
      <c r="A190">
        <v>70</v>
      </c>
      <c r="B190">
        <v>1</v>
      </c>
      <c r="D190">
        <v>14</v>
      </c>
      <c r="E190" t="s">
        <v>289</v>
      </c>
      <c r="F190" t="s">
        <v>290</v>
      </c>
      <c r="G190">
        <v>0</v>
      </c>
      <c r="H190">
        <v>0</v>
      </c>
      <c r="I190" t="s">
        <v>3</v>
      </c>
      <c r="J190">
        <v>0</v>
      </c>
      <c r="K190">
        <v>0</v>
      </c>
      <c r="L190" t="s">
        <v>3</v>
      </c>
      <c r="M190" t="s">
        <v>3</v>
      </c>
      <c r="N190">
        <v>0</v>
      </c>
      <c r="P190" t="s">
        <v>291</v>
      </c>
    </row>
    <row r="191" spans="1:16" x14ac:dyDescent="0.2">
      <c r="A191">
        <v>70</v>
      </c>
      <c r="B191">
        <v>1</v>
      </c>
      <c r="D191">
        <v>15</v>
      </c>
      <c r="E191" t="s">
        <v>292</v>
      </c>
      <c r="F191" t="s">
        <v>293</v>
      </c>
      <c r="G191">
        <v>0</v>
      </c>
      <c r="H191">
        <v>0</v>
      </c>
      <c r="I191" t="s">
        <v>3</v>
      </c>
      <c r="J191">
        <v>3</v>
      </c>
      <c r="K191">
        <v>0</v>
      </c>
      <c r="L191" t="s">
        <v>3</v>
      </c>
      <c r="M191" t="s">
        <v>3</v>
      </c>
      <c r="N191">
        <v>0</v>
      </c>
      <c r="P191" t="s">
        <v>3</v>
      </c>
    </row>
    <row r="192" spans="1:16" x14ac:dyDescent="0.2">
      <c r="A192">
        <v>70</v>
      </c>
      <c r="B192">
        <v>1</v>
      </c>
      <c r="D192">
        <v>16</v>
      </c>
      <c r="E192" t="s">
        <v>294</v>
      </c>
      <c r="F192" t="s">
        <v>295</v>
      </c>
      <c r="G192">
        <v>1</v>
      </c>
      <c r="H192">
        <v>0</v>
      </c>
      <c r="I192" t="s">
        <v>3</v>
      </c>
      <c r="J192">
        <v>3</v>
      </c>
      <c r="K192">
        <v>0</v>
      </c>
      <c r="L192" t="s">
        <v>3</v>
      </c>
      <c r="M192" t="s">
        <v>3</v>
      </c>
      <c r="N192">
        <v>0</v>
      </c>
      <c r="P192" t="s">
        <v>3</v>
      </c>
    </row>
    <row r="193" spans="1:50" x14ac:dyDescent="0.2">
      <c r="A193">
        <v>70</v>
      </c>
      <c r="B193">
        <v>1</v>
      </c>
      <c r="D193">
        <v>1</v>
      </c>
      <c r="E193" t="s">
        <v>296</v>
      </c>
      <c r="F193" t="s">
        <v>297</v>
      </c>
      <c r="G193">
        <v>0.9</v>
      </c>
      <c r="H193">
        <v>1</v>
      </c>
      <c r="I193" t="s">
        <v>298</v>
      </c>
      <c r="J193">
        <v>0</v>
      </c>
      <c r="K193">
        <v>0</v>
      </c>
      <c r="L193" t="s">
        <v>3</v>
      </c>
      <c r="M193" t="s">
        <v>3</v>
      </c>
      <c r="N193">
        <v>0</v>
      </c>
      <c r="P193" t="s">
        <v>299</v>
      </c>
    </row>
    <row r="194" spans="1:50" x14ac:dyDescent="0.2">
      <c r="A194">
        <v>70</v>
      </c>
      <c r="B194">
        <v>1</v>
      </c>
      <c r="D194">
        <v>2</v>
      </c>
      <c r="E194" t="s">
        <v>300</v>
      </c>
      <c r="F194" t="s">
        <v>301</v>
      </c>
      <c r="G194">
        <v>0.85</v>
      </c>
      <c r="H194">
        <v>1</v>
      </c>
      <c r="I194" t="s">
        <v>302</v>
      </c>
      <c r="J194">
        <v>0</v>
      </c>
      <c r="K194">
        <v>0</v>
      </c>
      <c r="L194" t="s">
        <v>3</v>
      </c>
      <c r="M194" t="s">
        <v>3</v>
      </c>
      <c r="N194">
        <v>0</v>
      </c>
      <c r="P194" t="s">
        <v>303</v>
      </c>
    </row>
    <row r="195" spans="1:50" x14ac:dyDescent="0.2">
      <c r="A195">
        <v>70</v>
      </c>
      <c r="B195">
        <v>1</v>
      </c>
      <c r="D195">
        <v>3</v>
      </c>
      <c r="E195" t="s">
        <v>304</v>
      </c>
      <c r="F195" t="s">
        <v>305</v>
      </c>
      <c r="G195">
        <v>1.03</v>
      </c>
      <c r="H195">
        <v>0</v>
      </c>
      <c r="I195" t="s">
        <v>3</v>
      </c>
      <c r="J195">
        <v>0</v>
      </c>
      <c r="K195">
        <v>0</v>
      </c>
      <c r="L195" t="s">
        <v>3</v>
      </c>
      <c r="M195" t="s">
        <v>3</v>
      </c>
      <c r="N195">
        <v>0</v>
      </c>
      <c r="P195" t="s">
        <v>306</v>
      </c>
    </row>
    <row r="196" spans="1:50" x14ac:dyDescent="0.2">
      <c r="A196">
        <v>70</v>
      </c>
      <c r="B196">
        <v>1</v>
      </c>
      <c r="D196">
        <v>4</v>
      </c>
      <c r="E196" t="s">
        <v>307</v>
      </c>
      <c r="F196" t="s">
        <v>308</v>
      </c>
      <c r="G196">
        <v>1.1499999999999999</v>
      </c>
      <c r="H196">
        <v>0</v>
      </c>
      <c r="I196" t="s">
        <v>3</v>
      </c>
      <c r="J196">
        <v>0</v>
      </c>
      <c r="K196">
        <v>0</v>
      </c>
      <c r="L196" t="s">
        <v>3</v>
      </c>
      <c r="M196" t="s">
        <v>3</v>
      </c>
      <c r="N196">
        <v>0</v>
      </c>
      <c r="P196" t="s">
        <v>309</v>
      </c>
    </row>
    <row r="197" spans="1:50" x14ac:dyDescent="0.2">
      <c r="A197">
        <v>70</v>
      </c>
      <c r="B197">
        <v>1</v>
      </c>
      <c r="D197">
        <v>5</v>
      </c>
      <c r="E197" t="s">
        <v>310</v>
      </c>
      <c r="F197" t="s">
        <v>311</v>
      </c>
      <c r="G197">
        <v>7</v>
      </c>
      <c r="H197">
        <v>0</v>
      </c>
      <c r="I197" t="s">
        <v>3</v>
      </c>
      <c r="J197">
        <v>0</v>
      </c>
      <c r="K197">
        <v>0</v>
      </c>
      <c r="L197" t="s">
        <v>3</v>
      </c>
      <c r="M197" t="s">
        <v>3</v>
      </c>
      <c r="N197">
        <v>0</v>
      </c>
      <c r="P197" t="s">
        <v>3</v>
      </c>
    </row>
    <row r="198" spans="1:50" x14ac:dyDescent="0.2">
      <c r="A198">
        <v>70</v>
      </c>
      <c r="B198">
        <v>1</v>
      </c>
      <c r="D198">
        <v>6</v>
      </c>
      <c r="E198" t="s">
        <v>312</v>
      </c>
      <c r="F198" t="s">
        <v>3</v>
      </c>
      <c r="G198">
        <v>2</v>
      </c>
      <c r="H198">
        <v>0</v>
      </c>
      <c r="I198" t="s">
        <v>3</v>
      </c>
      <c r="J198">
        <v>0</v>
      </c>
      <c r="K198">
        <v>0</v>
      </c>
      <c r="L198" t="s">
        <v>3</v>
      </c>
      <c r="M198" t="s">
        <v>3</v>
      </c>
      <c r="N198">
        <v>0</v>
      </c>
      <c r="P198" t="s">
        <v>3</v>
      </c>
    </row>
    <row r="200" spans="1:50" x14ac:dyDescent="0.2">
      <c r="A200">
        <v>-1</v>
      </c>
    </row>
    <row r="202" spans="1:50" x14ac:dyDescent="0.2">
      <c r="A202" s="3">
        <v>75</v>
      </c>
      <c r="B202" s="3" t="s">
        <v>313</v>
      </c>
      <c r="C202" s="3">
        <v>2023</v>
      </c>
      <c r="D202" s="3">
        <v>0</v>
      </c>
      <c r="E202" s="3">
        <v>12</v>
      </c>
      <c r="F202" s="3"/>
      <c r="G202" s="3">
        <v>0</v>
      </c>
      <c r="H202" s="3">
        <v>1</v>
      </c>
      <c r="I202" s="3">
        <v>0</v>
      </c>
      <c r="J202" s="3">
        <v>1</v>
      </c>
      <c r="K202" s="3">
        <v>0</v>
      </c>
      <c r="L202" s="3">
        <v>0</v>
      </c>
      <c r="M202" s="3">
        <v>0</v>
      </c>
      <c r="N202" s="3">
        <v>40777027</v>
      </c>
      <c r="O202" s="3">
        <v>1</v>
      </c>
    </row>
    <row r="203" spans="1:50" x14ac:dyDescent="0.2">
      <c r="A203" s="5">
        <v>1</v>
      </c>
      <c r="B203" s="5" t="s">
        <v>314</v>
      </c>
      <c r="C203" s="5" t="s">
        <v>315</v>
      </c>
      <c r="D203" s="5">
        <v>2023</v>
      </c>
      <c r="E203" s="5">
        <v>12</v>
      </c>
      <c r="F203" s="5">
        <v>1</v>
      </c>
      <c r="G203" s="5">
        <v>1</v>
      </c>
      <c r="H203" s="5">
        <v>0</v>
      </c>
      <c r="I203" s="5">
        <v>2</v>
      </c>
      <c r="J203" s="5">
        <v>1</v>
      </c>
      <c r="K203" s="5">
        <v>1</v>
      </c>
      <c r="L203" s="5">
        <v>1</v>
      </c>
      <c r="M203" s="5">
        <v>1</v>
      </c>
      <c r="N203" s="5">
        <v>1</v>
      </c>
      <c r="O203" s="5">
        <v>1</v>
      </c>
      <c r="P203" s="5">
        <v>1</v>
      </c>
      <c r="Q203" s="5">
        <v>1</v>
      </c>
      <c r="R203" s="5" t="s">
        <v>3</v>
      </c>
      <c r="S203" s="5" t="s">
        <v>3</v>
      </c>
      <c r="T203" s="5" t="s">
        <v>3</v>
      </c>
      <c r="U203" s="5" t="s">
        <v>3</v>
      </c>
      <c r="V203" s="5" t="s">
        <v>3</v>
      </c>
      <c r="W203" s="5" t="s">
        <v>3</v>
      </c>
      <c r="X203" s="5" t="s">
        <v>3</v>
      </c>
      <c r="Y203" s="5" t="s">
        <v>3</v>
      </c>
      <c r="Z203" s="5" t="s">
        <v>3</v>
      </c>
      <c r="AA203" s="5" t="s">
        <v>3</v>
      </c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>
        <v>40777028</v>
      </c>
      <c r="AO203" s="5"/>
      <c r="AP203" s="5"/>
      <c r="AQ203" s="5"/>
      <c r="AR203" s="5"/>
      <c r="AS203" s="5"/>
      <c r="AT203" s="5"/>
      <c r="AU203" s="5"/>
      <c r="AV203" s="5"/>
      <c r="AW203" s="5"/>
      <c r="AX203" s="5"/>
    </row>
    <row r="207" spans="1:50" x14ac:dyDescent="0.2">
      <c r="A207">
        <v>65</v>
      </c>
      <c r="C207">
        <v>1</v>
      </c>
      <c r="D207">
        <v>0</v>
      </c>
      <c r="E207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60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316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52250</v>
      </c>
      <c r="M1">
        <v>10</v>
      </c>
      <c r="N1">
        <v>11</v>
      </c>
      <c r="O1">
        <v>7</v>
      </c>
      <c r="P1">
        <v>0</v>
      </c>
      <c r="Q1">
        <v>3</v>
      </c>
    </row>
    <row r="12" spans="1:133" x14ac:dyDescent="0.2">
      <c r="A12" s="1">
        <v>1</v>
      </c>
      <c r="B12" s="1">
        <v>59</v>
      </c>
      <c r="C12" s="1">
        <v>0</v>
      </c>
      <c r="D12" s="1"/>
      <c r="E12" s="1">
        <v>0</v>
      </c>
      <c r="F12" s="1" t="s">
        <v>4</v>
      </c>
      <c r="G12" s="1" t="s">
        <v>5</v>
      </c>
      <c r="H12" s="1" t="s">
        <v>3</v>
      </c>
      <c r="I12" s="1">
        <v>0</v>
      </c>
      <c r="J12" s="1" t="s">
        <v>3</v>
      </c>
      <c r="K12" s="1">
        <v>0</v>
      </c>
      <c r="L12" s="1">
        <v>0</v>
      </c>
      <c r="M12" s="1">
        <v>2</v>
      </c>
      <c r="N12" s="1"/>
      <c r="O12" s="1">
        <v>0</v>
      </c>
      <c r="P12" s="1">
        <v>0</v>
      </c>
      <c r="Q12" s="1">
        <v>0</v>
      </c>
      <c r="R12" s="1">
        <v>0</v>
      </c>
      <c r="S12" s="1"/>
      <c r="T12" s="1">
        <v>1</v>
      </c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>
        <v>0</v>
      </c>
      <c r="BC12" s="1"/>
      <c r="BD12" s="1"/>
      <c r="BE12" s="1"/>
      <c r="BF12" s="1"/>
      <c r="BG12" s="1"/>
      <c r="BH12" s="1" t="s">
        <v>6</v>
      </c>
      <c r="BI12" s="1" t="s">
        <v>7</v>
      </c>
      <c r="BJ12" s="1">
        <v>1</v>
      </c>
      <c r="BK12" s="1">
        <v>1</v>
      </c>
      <c r="BL12" s="1">
        <v>0</v>
      </c>
      <c r="BM12" s="1">
        <v>0</v>
      </c>
      <c r="BN12" s="1">
        <v>1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8</v>
      </c>
      <c r="BZ12" s="1" t="s">
        <v>9</v>
      </c>
      <c r="CA12" s="1" t="s">
        <v>8</v>
      </c>
      <c r="CB12" s="1" t="s">
        <v>8</v>
      </c>
      <c r="CC12" s="1" t="s">
        <v>8</v>
      </c>
      <c r="CD12" s="1" t="s">
        <v>8</v>
      </c>
      <c r="CE12" s="1" t="s">
        <v>10</v>
      </c>
      <c r="CF12" s="1">
        <v>0</v>
      </c>
      <c r="CG12" s="1">
        <v>0</v>
      </c>
      <c r="CH12" s="1">
        <v>2105352</v>
      </c>
      <c r="CI12" s="1" t="s">
        <v>3</v>
      </c>
      <c r="CJ12" s="1" t="s">
        <v>3</v>
      </c>
      <c r="CK12" s="1">
        <v>0</v>
      </c>
      <c r="CL12" s="1"/>
      <c r="CM12" s="1"/>
      <c r="CN12" s="1"/>
      <c r="CO12" s="1"/>
      <c r="CP12" s="1"/>
      <c r="CQ12" s="1" t="s">
        <v>11</v>
      </c>
      <c r="CR12" s="1" t="s">
        <v>12</v>
      </c>
      <c r="CS12" s="1">
        <v>42130</v>
      </c>
      <c r="CT12" s="1">
        <v>246</v>
      </c>
      <c r="CU12" s="1"/>
      <c r="CV12" s="1"/>
      <c r="CW12" s="1"/>
      <c r="CX12" s="1"/>
      <c r="CY12" s="1">
        <v>0</v>
      </c>
      <c r="CZ12" s="1" t="s">
        <v>3</v>
      </c>
      <c r="DA12" s="1" t="s">
        <v>3</v>
      </c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1</v>
      </c>
      <c r="C14" s="1">
        <v>0</v>
      </c>
      <c r="D14" s="1">
        <v>40777027</v>
      </c>
      <c r="E14" s="1">
        <v>0</v>
      </c>
      <c r="F14" s="1">
        <v>2</v>
      </c>
      <c r="G14" s="1">
        <v>1</v>
      </c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6">
        <v>3</v>
      </c>
      <c r="B16" s="6">
        <v>0</v>
      </c>
      <c r="C16" s="6" t="s">
        <v>13</v>
      </c>
      <c r="D16" s="6" t="s">
        <v>13</v>
      </c>
      <c r="E16" s="7">
        <f>ROUND((Source!F117)/1000,2)</f>
        <v>764.97</v>
      </c>
      <c r="F16" s="7">
        <f>ROUND((Source!F118)/1000,2)</f>
        <v>115.72</v>
      </c>
      <c r="G16" s="7">
        <f>ROUND((Source!F109)/1000,2)</f>
        <v>0</v>
      </c>
      <c r="H16" s="7">
        <f>ROUND((Source!F119)/1000+(Source!F120)/1000,2)</f>
        <v>0</v>
      </c>
      <c r="I16" s="7">
        <f>E16+F16+G16+H16</f>
        <v>880.69</v>
      </c>
      <c r="J16" s="7">
        <f>ROUND((Source!F115+Source!F114)/1000,2)</f>
        <v>90</v>
      </c>
      <c r="AI16" s="6">
        <v>0</v>
      </c>
      <c r="AJ16" s="6">
        <v>0</v>
      </c>
      <c r="AK16" s="6" t="s">
        <v>3</v>
      </c>
      <c r="AL16" s="6" t="s">
        <v>3</v>
      </c>
      <c r="AM16" s="6" t="s">
        <v>3</v>
      </c>
      <c r="AN16" s="6">
        <v>0</v>
      </c>
      <c r="AO16" s="6" t="s">
        <v>3</v>
      </c>
      <c r="AP16" s="6" t="s">
        <v>3</v>
      </c>
      <c r="AT16" s="7">
        <v>746172.66</v>
      </c>
      <c r="AU16" s="7">
        <v>448124.29</v>
      </c>
      <c r="AV16" s="7">
        <v>0</v>
      </c>
      <c r="AW16" s="7">
        <v>0</v>
      </c>
      <c r="AX16" s="7">
        <v>0</v>
      </c>
      <c r="AY16" s="7">
        <v>232787.4</v>
      </c>
      <c r="AZ16" s="7">
        <v>24739.69</v>
      </c>
      <c r="BA16" s="7">
        <v>65260.97</v>
      </c>
      <c r="BB16" s="7">
        <v>764972.92</v>
      </c>
      <c r="BC16" s="7">
        <v>115717.98</v>
      </c>
      <c r="BD16" s="7">
        <v>0</v>
      </c>
      <c r="BE16" s="7">
        <v>0</v>
      </c>
      <c r="BF16" s="7">
        <v>224.83074999999999</v>
      </c>
      <c r="BG16" s="7">
        <v>63.62415</v>
      </c>
      <c r="BH16" s="7">
        <v>0</v>
      </c>
      <c r="BI16" s="7">
        <v>90922.75</v>
      </c>
      <c r="BJ16" s="7">
        <v>43595.49</v>
      </c>
      <c r="BK16" s="7">
        <v>880690.9</v>
      </c>
    </row>
    <row r="18" spans="1:19" x14ac:dyDescent="0.2">
      <c r="A18">
        <v>51</v>
      </c>
      <c r="E18" s="8">
        <f>SUMIF(A16:A17,3,E16:E17)</f>
        <v>764.97</v>
      </c>
      <c r="F18" s="8">
        <f>SUMIF(A16:A17,3,F16:F17)</f>
        <v>115.72</v>
      </c>
      <c r="G18" s="8">
        <f>SUMIF(A16:A17,3,G16:G17)</f>
        <v>0</v>
      </c>
      <c r="H18" s="8">
        <f>SUMIF(A16:A17,3,H16:H17)</f>
        <v>0</v>
      </c>
      <c r="I18" s="8">
        <f>SUMIF(A16:A17,3,I16:I17)</f>
        <v>880.69</v>
      </c>
      <c r="J18" s="8">
        <f>SUMIF(A16:A17,3,J16:J17)</f>
        <v>90</v>
      </c>
      <c r="K18" s="8"/>
      <c r="L18" s="8"/>
      <c r="M18" s="8"/>
      <c r="N18" s="8"/>
      <c r="O18" s="8"/>
      <c r="P18" s="8"/>
      <c r="Q18" s="8"/>
      <c r="R18" s="8"/>
      <c r="S18" s="8"/>
    </row>
    <row r="20" spans="1:19" x14ac:dyDescent="0.2">
      <c r="A20" s="4">
        <v>50</v>
      </c>
      <c r="B20" s="4">
        <v>0</v>
      </c>
      <c r="C20" s="4">
        <v>0</v>
      </c>
      <c r="D20" s="4">
        <v>1</v>
      </c>
      <c r="E20" s="4">
        <v>201</v>
      </c>
      <c r="F20" s="4">
        <v>746172.66</v>
      </c>
      <c r="G20" s="4" t="s">
        <v>182</v>
      </c>
      <c r="H20" s="4" t="s">
        <v>183</v>
      </c>
      <c r="I20" s="4"/>
      <c r="J20" s="4"/>
      <c r="K20" s="4">
        <v>201</v>
      </c>
      <c r="L20" s="4">
        <v>1</v>
      </c>
      <c r="M20" s="4">
        <v>3</v>
      </c>
      <c r="N20" s="4" t="s">
        <v>3</v>
      </c>
      <c r="O20" s="4">
        <v>2</v>
      </c>
      <c r="P20" s="4"/>
    </row>
    <row r="21" spans="1:19" x14ac:dyDescent="0.2">
      <c r="A21" s="4">
        <v>50</v>
      </c>
      <c r="B21" s="4">
        <v>0</v>
      </c>
      <c r="C21" s="4">
        <v>0</v>
      </c>
      <c r="D21" s="4">
        <v>1</v>
      </c>
      <c r="E21" s="4">
        <v>202</v>
      </c>
      <c r="F21" s="4">
        <v>448124.29</v>
      </c>
      <c r="G21" s="4" t="s">
        <v>184</v>
      </c>
      <c r="H21" s="4" t="s">
        <v>185</v>
      </c>
      <c r="I21" s="4"/>
      <c r="J21" s="4"/>
      <c r="K21" s="4">
        <v>202</v>
      </c>
      <c r="L21" s="4">
        <v>2</v>
      </c>
      <c r="M21" s="4">
        <v>3</v>
      </c>
      <c r="N21" s="4" t="s">
        <v>3</v>
      </c>
      <c r="O21" s="4">
        <v>2</v>
      </c>
      <c r="P21" s="4"/>
    </row>
    <row r="22" spans="1:19" x14ac:dyDescent="0.2">
      <c r="A22" s="4">
        <v>50</v>
      </c>
      <c r="B22" s="4">
        <v>0</v>
      </c>
      <c r="C22" s="4">
        <v>0</v>
      </c>
      <c r="D22" s="4">
        <v>1</v>
      </c>
      <c r="E22" s="4">
        <v>222</v>
      </c>
      <c r="F22" s="4">
        <v>0</v>
      </c>
      <c r="G22" s="4" t="s">
        <v>186</v>
      </c>
      <c r="H22" s="4" t="s">
        <v>187</v>
      </c>
      <c r="I22" s="4"/>
      <c r="J22" s="4"/>
      <c r="K22" s="4">
        <v>222</v>
      </c>
      <c r="L22" s="4">
        <v>3</v>
      </c>
      <c r="M22" s="4">
        <v>3</v>
      </c>
      <c r="N22" s="4" t="s">
        <v>3</v>
      </c>
      <c r="O22" s="4">
        <v>2</v>
      </c>
      <c r="P22" s="4"/>
    </row>
    <row r="23" spans="1:19" x14ac:dyDescent="0.2">
      <c r="A23" s="4">
        <v>50</v>
      </c>
      <c r="B23" s="4">
        <v>0</v>
      </c>
      <c r="C23" s="4">
        <v>0</v>
      </c>
      <c r="D23" s="4">
        <v>1</v>
      </c>
      <c r="E23" s="4">
        <v>225</v>
      </c>
      <c r="F23" s="4">
        <v>448124.29</v>
      </c>
      <c r="G23" s="4" t="s">
        <v>188</v>
      </c>
      <c r="H23" s="4" t="s">
        <v>189</v>
      </c>
      <c r="I23" s="4"/>
      <c r="J23" s="4"/>
      <c r="K23" s="4">
        <v>225</v>
      </c>
      <c r="L23" s="4">
        <v>4</v>
      </c>
      <c r="M23" s="4">
        <v>3</v>
      </c>
      <c r="N23" s="4" t="s">
        <v>3</v>
      </c>
      <c r="O23" s="4">
        <v>2</v>
      </c>
      <c r="P23" s="4"/>
    </row>
    <row r="24" spans="1:19" x14ac:dyDescent="0.2">
      <c r="A24" s="4">
        <v>50</v>
      </c>
      <c r="B24" s="4">
        <v>0</v>
      </c>
      <c r="C24" s="4">
        <v>0</v>
      </c>
      <c r="D24" s="4">
        <v>1</v>
      </c>
      <c r="E24" s="4">
        <v>226</v>
      </c>
      <c r="F24" s="4">
        <v>448124.29</v>
      </c>
      <c r="G24" s="4" t="s">
        <v>190</v>
      </c>
      <c r="H24" s="4" t="s">
        <v>191</v>
      </c>
      <c r="I24" s="4"/>
      <c r="J24" s="4"/>
      <c r="K24" s="4">
        <v>226</v>
      </c>
      <c r="L24" s="4">
        <v>5</v>
      </c>
      <c r="M24" s="4">
        <v>3</v>
      </c>
      <c r="N24" s="4" t="s">
        <v>3</v>
      </c>
      <c r="O24" s="4">
        <v>2</v>
      </c>
      <c r="P24" s="4"/>
    </row>
    <row r="25" spans="1:19" x14ac:dyDescent="0.2">
      <c r="A25" s="4">
        <v>50</v>
      </c>
      <c r="B25" s="4">
        <v>0</v>
      </c>
      <c r="C25" s="4">
        <v>0</v>
      </c>
      <c r="D25" s="4">
        <v>1</v>
      </c>
      <c r="E25" s="4">
        <v>227</v>
      </c>
      <c r="F25" s="4">
        <v>0</v>
      </c>
      <c r="G25" s="4" t="s">
        <v>192</v>
      </c>
      <c r="H25" s="4" t="s">
        <v>193</v>
      </c>
      <c r="I25" s="4"/>
      <c r="J25" s="4"/>
      <c r="K25" s="4">
        <v>227</v>
      </c>
      <c r="L25" s="4">
        <v>6</v>
      </c>
      <c r="M25" s="4">
        <v>3</v>
      </c>
      <c r="N25" s="4" t="s">
        <v>3</v>
      </c>
      <c r="O25" s="4">
        <v>2</v>
      </c>
      <c r="P25" s="4"/>
    </row>
    <row r="26" spans="1:19" x14ac:dyDescent="0.2">
      <c r="A26" s="4">
        <v>50</v>
      </c>
      <c r="B26" s="4">
        <v>0</v>
      </c>
      <c r="C26" s="4">
        <v>0</v>
      </c>
      <c r="D26" s="4">
        <v>1</v>
      </c>
      <c r="E26" s="4">
        <v>228</v>
      </c>
      <c r="F26" s="4">
        <v>448124.29</v>
      </c>
      <c r="G26" s="4" t="s">
        <v>194</v>
      </c>
      <c r="H26" s="4" t="s">
        <v>195</v>
      </c>
      <c r="I26" s="4"/>
      <c r="J26" s="4"/>
      <c r="K26" s="4">
        <v>228</v>
      </c>
      <c r="L26" s="4">
        <v>7</v>
      </c>
      <c r="M26" s="4">
        <v>3</v>
      </c>
      <c r="N26" s="4" t="s">
        <v>3</v>
      </c>
      <c r="O26" s="4">
        <v>2</v>
      </c>
      <c r="P26" s="4"/>
    </row>
    <row r="27" spans="1:19" x14ac:dyDescent="0.2">
      <c r="A27" s="4">
        <v>50</v>
      </c>
      <c r="B27" s="4">
        <v>0</v>
      </c>
      <c r="C27" s="4">
        <v>0</v>
      </c>
      <c r="D27" s="4">
        <v>1</v>
      </c>
      <c r="E27" s="4">
        <v>216</v>
      </c>
      <c r="F27" s="4">
        <v>0</v>
      </c>
      <c r="G27" s="4" t="s">
        <v>196</v>
      </c>
      <c r="H27" s="4" t="s">
        <v>197</v>
      </c>
      <c r="I27" s="4"/>
      <c r="J27" s="4"/>
      <c r="K27" s="4">
        <v>216</v>
      </c>
      <c r="L27" s="4">
        <v>8</v>
      </c>
      <c r="M27" s="4">
        <v>3</v>
      </c>
      <c r="N27" s="4" t="s">
        <v>3</v>
      </c>
      <c r="O27" s="4">
        <v>2</v>
      </c>
      <c r="P27" s="4"/>
    </row>
    <row r="28" spans="1:19" x14ac:dyDescent="0.2">
      <c r="A28" s="4">
        <v>50</v>
      </c>
      <c r="B28" s="4">
        <v>0</v>
      </c>
      <c r="C28" s="4">
        <v>0</v>
      </c>
      <c r="D28" s="4">
        <v>1</v>
      </c>
      <c r="E28" s="4">
        <v>223</v>
      </c>
      <c r="F28" s="4">
        <v>0</v>
      </c>
      <c r="G28" s="4" t="s">
        <v>198</v>
      </c>
      <c r="H28" s="4" t="s">
        <v>199</v>
      </c>
      <c r="I28" s="4"/>
      <c r="J28" s="4"/>
      <c r="K28" s="4">
        <v>223</v>
      </c>
      <c r="L28" s="4">
        <v>9</v>
      </c>
      <c r="M28" s="4">
        <v>3</v>
      </c>
      <c r="N28" s="4" t="s">
        <v>3</v>
      </c>
      <c r="O28" s="4">
        <v>2</v>
      </c>
      <c r="P28" s="4"/>
    </row>
    <row r="29" spans="1:19" x14ac:dyDescent="0.2">
      <c r="A29" s="4">
        <v>50</v>
      </c>
      <c r="B29" s="4">
        <v>0</v>
      </c>
      <c r="C29" s="4">
        <v>0</v>
      </c>
      <c r="D29" s="4">
        <v>1</v>
      </c>
      <c r="E29" s="4">
        <v>229</v>
      </c>
      <c r="F29" s="4">
        <v>0</v>
      </c>
      <c r="G29" s="4" t="s">
        <v>200</v>
      </c>
      <c r="H29" s="4" t="s">
        <v>201</v>
      </c>
      <c r="I29" s="4"/>
      <c r="J29" s="4"/>
      <c r="K29" s="4">
        <v>229</v>
      </c>
      <c r="L29" s="4">
        <v>10</v>
      </c>
      <c r="M29" s="4">
        <v>3</v>
      </c>
      <c r="N29" s="4" t="s">
        <v>3</v>
      </c>
      <c r="O29" s="4">
        <v>2</v>
      </c>
      <c r="P29" s="4"/>
    </row>
    <row r="30" spans="1:19" x14ac:dyDescent="0.2">
      <c r="A30" s="4">
        <v>50</v>
      </c>
      <c r="B30" s="4">
        <v>0</v>
      </c>
      <c r="C30" s="4">
        <v>0</v>
      </c>
      <c r="D30" s="4">
        <v>1</v>
      </c>
      <c r="E30" s="4">
        <v>203</v>
      </c>
      <c r="F30" s="4">
        <v>232787.4</v>
      </c>
      <c r="G30" s="4" t="s">
        <v>202</v>
      </c>
      <c r="H30" s="4" t="s">
        <v>203</v>
      </c>
      <c r="I30" s="4"/>
      <c r="J30" s="4"/>
      <c r="K30" s="4">
        <v>203</v>
      </c>
      <c r="L30" s="4">
        <v>11</v>
      </c>
      <c r="M30" s="4">
        <v>3</v>
      </c>
      <c r="N30" s="4" t="s">
        <v>3</v>
      </c>
      <c r="O30" s="4">
        <v>2</v>
      </c>
      <c r="P30" s="4"/>
    </row>
    <row r="31" spans="1:19" x14ac:dyDescent="0.2">
      <c r="A31" s="4">
        <v>50</v>
      </c>
      <c r="B31" s="4">
        <v>0</v>
      </c>
      <c r="C31" s="4">
        <v>0</v>
      </c>
      <c r="D31" s="4">
        <v>1</v>
      </c>
      <c r="E31" s="4">
        <v>231</v>
      </c>
      <c r="F31" s="4">
        <v>0</v>
      </c>
      <c r="G31" s="4" t="s">
        <v>204</v>
      </c>
      <c r="H31" s="4" t="s">
        <v>205</v>
      </c>
      <c r="I31" s="4"/>
      <c r="J31" s="4"/>
      <c r="K31" s="4">
        <v>231</v>
      </c>
      <c r="L31" s="4">
        <v>12</v>
      </c>
      <c r="M31" s="4">
        <v>3</v>
      </c>
      <c r="N31" s="4" t="s">
        <v>3</v>
      </c>
      <c r="O31" s="4">
        <v>2</v>
      </c>
      <c r="P31" s="4"/>
    </row>
    <row r="32" spans="1:19" x14ac:dyDescent="0.2">
      <c r="A32" s="4">
        <v>50</v>
      </c>
      <c r="B32" s="4">
        <v>0</v>
      </c>
      <c r="C32" s="4">
        <v>0</v>
      </c>
      <c r="D32" s="4">
        <v>1</v>
      </c>
      <c r="E32" s="4">
        <v>204</v>
      </c>
      <c r="F32" s="4">
        <v>24739.69</v>
      </c>
      <c r="G32" s="4" t="s">
        <v>206</v>
      </c>
      <c r="H32" s="4" t="s">
        <v>207</v>
      </c>
      <c r="I32" s="4"/>
      <c r="J32" s="4"/>
      <c r="K32" s="4">
        <v>204</v>
      </c>
      <c r="L32" s="4">
        <v>13</v>
      </c>
      <c r="M32" s="4">
        <v>3</v>
      </c>
      <c r="N32" s="4" t="s">
        <v>3</v>
      </c>
      <c r="O32" s="4">
        <v>2</v>
      </c>
      <c r="P32" s="4"/>
    </row>
    <row r="33" spans="1:16" x14ac:dyDescent="0.2">
      <c r="A33" s="4">
        <v>50</v>
      </c>
      <c r="B33" s="4">
        <v>0</v>
      </c>
      <c r="C33" s="4">
        <v>0</v>
      </c>
      <c r="D33" s="4">
        <v>1</v>
      </c>
      <c r="E33" s="4">
        <v>205</v>
      </c>
      <c r="F33" s="4">
        <v>65260.97</v>
      </c>
      <c r="G33" s="4" t="s">
        <v>208</v>
      </c>
      <c r="H33" s="4" t="s">
        <v>209</v>
      </c>
      <c r="I33" s="4"/>
      <c r="J33" s="4"/>
      <c r="K33" s="4">
        <v>205</v>
      </c>
      <c r="L33" s="4">
        <v>14</v>
      </c>
      <c r="M33" s="4">
        <v>3</v>
      </c>
      <c r="N33" s="4" t="s">
        <v>3</v>
      </c>
      <c r="O33" s="4">
        <v>2</v>
      </c>
      <c r="P33" s="4"/>
    </row>
    <row r="34" spans="1:16" x14ac:dyDescent="0.2">
      <c r="A34" s="4">
        <v>50</v>
      </c>
      <c r="B34" s="4">
        <v>0</v>
      </c>
      <c r="C34" s="4">
        <v>0</v>
      </c>
      <c r="D34" s="4">
        <v>1</v>
      </c>
      <c r="E34" s="4">
        <v>232</v>
      </c>
      <c r="F34" s="4">
        <v>0</v>
      </c>
      <c r="G34" s="4" t="s">
        <v>210</v>
      </c>
      <c r="H34" s="4" t="s">
        <v>211</v>
      </c>
      <c r="I34" s="4"/>
      <c r="J34" s="4"/>
      <c r="K34" s="4">
        <v>232</v>
      </c>
      <c r="L34" s="4">
        <v>15</v>
      </c>
      <c r="M34" s="4">
        <v>3</v>
      </c>
      <c r="N34" s="4" t="s">
        <v>3</v>
      </c>
      <c r="O34" s="4">
        <v>2</v>
      </c>
      <c r="P34" s="4"/>
    </row>
    <row r="35" spans="1:16" x14ac:dyDescent="0.2">
      <c r="A35" s="4">
        <v>50</v>
      </c>
      <c r="B35" s="4">
        <v>0</v>
      </c>
      <c r="C35" s="4">
        <v>0</v>
      </c>
      <c r="D35" s="4">
        <v>1</v>
      </c>
      <c r="E35" s="4">
        <v>214</v>
      </c>
      <c r="F35" s="4">
        <v>764972.92</v>
      </c>
      <c r="G35" s="4" t="s">
        <v>212</v>
      </c>
      <c r="H35" s="4" t="s">
        <v>213</v>
      </c>
      <c r="I35" s="4"/>
      <c r="J35" s="4"/>
      <c r="K35" s="4">
        <v>214</v>
      </c>
      <c r="L35" s="4">
        <v>16</v>
      </c>
      <c r="M35" s="4">
        <v>3</v>
      </c>
      <c r="N35" s="4" t="s">
        <v>3</v>
      </c>
      <c r="O35" s="4">
        <v>2</v>
      </c>
      <c r="P35" s="4"/>
    </row>
    <row r="36" spans="1:16" x14ac:dyDescent="0.2">
      <c r="A36" s="4">
        <v>50</v>
      </c>
      <c r="B36" s="4">
        <v>0</v>
      </c>
      <c r="C36" s="4">
        <v>0</v>
      </c>
      <c r="D36" s="4">
        <v>1</v>
      </c>
      <c r="E36" s="4">
        <v>215</v>
      </c>
      <c r="F36" s="4">
        <v>115717.98</v>
      </c>
      <c r="G36" s="4" t="s">
        <v>214</v>
      </c>
      <c r="H36" s="4" t="s">
        <v>215</v>
      </c>
      <c r="I36" s="4"/>
      <c r="J36" s="4"/>
      <c r="K36" s="4">
        <v>215</v>
      </c>
      <c r="L36" s="4">
        <v>17</v>
      </c>
      <c r="M36" s="4">
        <v>3</v>
      </c>
      <c r="N36" s="4" t="s">
        <v>3</v>
      </c>
      <c r="O36" s="4">
        <v>2</v>
      </c>
      <c r="P36" s="4"/>
    </row>
    <row r="37" spans="1:16" x14ac:dyDescent="0.2">
      <c r="A37" s="4">
        <v>50</v>
      </c>
      <c r="B37" s="4">
        <v>0</v>
      </c>
      <c r="C37" s="4">
        <v>0</v>
      </c>
      <c r="D37" s="4">
        <v>1</v>
      </c>
      <c r="E37" s="4">
        <v>217</v>
      </c>
      <c r="F37" s="4">
        <v>0</v>
      </c>
      <c r="G37" s="4" t="s">
        <v>216</v>
      </c>
      <c r="H37" s="4" t="s">
        <v>217</v>
      </c>
      <c r="I37" s="4"/>
      <c r="J37" s="4"/>
      <c r="K37" s="4">
        <v>217</v>
      </c>
      <c r="L37" s="4">
        <v>18</v>
      </c>
      <c r="M37" s="4">
        <v>3</v>
      </c>
      <c r="N37" s="4" t="s">
        <v>3</v>
      </c>
      <c r="O37" s="4">
        <v>2</v>
      </c>
      <c r="P37" s="4"/>
    </row>
    <row r="38" spans="1:16" x14ac:dyDescent="0.2">
      <c r="A38" s="4">
        <v>50</v>
      </c>
      <c r="B38" s="4">
        <v>0</v>
      </c>
      <c r="C38" s="4">
        <v>0</v>
      </c>
      <c r="D38" s="4">
        <v>1</v>
      </c>
      <c r="E38" s="4">
        <v>230</v>
      </c>
      <c r="F38" s="4">
        <v>0</v>
      </c>
      <c r="G38" s="4" t="s">
        <v>218</v>
      </c>
      <c r="H38" s="4" t="s">
        <v>219</v>
      </c>
      <c r="I38" s="4"/>
      <c r="J38" s="4"/>
      <c r="K38" s="4">
        <v>230</v>
      </c>
      <c r="L38" s="4">
        <v>19</v>
      </c>
      <c r="M38" s="4">
        <v>3</v>
      </c>
      <c r="N38" s="4" t="s">
        <v>3</v>
      </c>
      <c r="O38" s="4">
        <v>2</v>
      </c>
      <c r="P38" s="4"/>
    </row>
    <row r="39" spans="1:16" x14ac:dyDescent="0.2">
      <c r="A39" s="4">
        <v>50</v>
      </c>
      <c r="B39" s="4">
        <v>0</v>
      </c>
      <c r="C39" s="4">
        <v>0</v>
      </c>
      <c r="D39" s="4">
        <v>1</v>
      </c>
      <c r="E39" s="4">
        <v>206</v>
      </c>
      <c r="F39" s="4">
        <v>0</v>
      </c>
      <c r="G39" s="4" t="s">
        <v>220</v>
      </c>
      <c r="H39" s="4" t="s">
        <v>221</v>
      </c>
      <c r="I39" s="4"/>
      <c r="J39" s="4"/>
      <c r="K39" s="4">
        <v>206</v>
      </c>
      <c r="L39" s="4">
        <v>20</v>
      </c>
      <c r="M39" s="4">
        <v>3</v>
      </c>
      <c r="N39" s="4" t="s">
        <v>3</v>
      </c>
      <c r="O39" s="4">
        <v>2</v>
      </c>
      <c r="P39" s="4"/>
    </row>
    <row r="40" spans="1:16" x14ac:dyDescent="0.2">
      <c r="A40" s="4">
        <v>50</v>
      </c>
      <c r="B40" s="4">
        <v>0</v>
      </c>
      <c r="C40" s="4">
        <v>0</v>
      </c>
      <c r="D40" s="4">
        <v>1</v>
      </c>
      <c r="E40" s="4">
        <v>207</v>
      </c>
      <c r="F40" s="4">
        <v>224.83074999999999</v>
      </c>
      <c r="G40" s="4" t="s">
        <v>222</v>
      </c>
      <c r="H40" s="4" t="s">
        <v>223</v>
      </c>
      <c r="I40" s="4"/>
      <c r="J40" s="4"/>
      <c r="K40" s="4">
        <v>207</v>
      </c>
      <c r="L40" s="4">
        <v>21</v>
      </c>
      <c r="M40" s="4">
        <v>3</v>
      </c>
      <c r="N40" s="4" t="s">
        <v>3</v>
      </c>
      <c r="O40" s="4">
        <v>-1</v>
      </c>
      <c r="P40" s="4"/>
    </row>
    <row r="41" spans="1:16" x14ac:dyDescent="0.2">
      <c r="A41" s="4">
        <v>50</v>
      </c>
      <c r="B41" s="4">
        <v>0</v>
      </c>
      <c r="C41" s="4">
        <v>0</v>
      </c>
      <c r="D41" s="4">
        <v>1</v>
      </c>
      <c r="E41" s="4">
        <v>208</v>
      </c>
      <c r="F41" s="4">
        <v>63.62415</v>
      </c>
      <c r="G41" s="4" t="s">
        <v>224</v>
      </c>
      <c r="H41" s="4" t="s">
        <v>225</v>
      </c>
      <c r="I41" s="4"/>
      <c r="J41" s="4"/>
      <c r="K41" s="4">
        <v>208</v>
      </c>
      <c r="L41" s="4">
        <v>22</v>
      </c>
      <c r="M41" s="4">
        <v>3</v>
      </c>
      <c r="N41" s="4" t="s">
        <v>3</v>
      </c>
      <c r="O41" s="4">
        <v>-1</v>
      </c>
      <c r="P41" s="4"/>
    </row>
    <row r="42" spans="1:16" x14ac:dyDescent="0.2">
      <c r="A42" s="4">
        <v>50</v>
      </c>
      <c r="B42" s="4">
        <v>0</v>
      </c>
      <c r="C42" s="4">
        <v>0</v>
      </c>
      <c r="D42" s="4">
        <v>1</v>
      </c>
      <c r="E42" s="4">
        <v>209</v>
      </c>
      <c r="F42" s="4">
        <v>0</v>
      </c>
      <c r="G42" s="4" t="s">
        <v>226</v>
      </c>
      <c r="H42" s="4" t="s">
        <v>227</v>
      </c>
      <c r="I42" s="4"/>
      <c r="J42" s="4"/>
      <c r="K42" s="4">
        <v>209</v>
      </c>
      <c r="L42" s="4">
        <v>23</v>
      </c>
      <c r="M42" s="4">
        <v>3</v>
      </c>
      <c r="N42" s="4" t="s">
        <v>3</v>
      </c>
      <c r="O42" s="4">
        <v>2</v>
      </c>
      <c r="P42" s="4"/>
    </row>
    <row r="43" spans="1:16" x14ac:dyDescent="0.2">
      <c r="A43" s="4">
        <v>50</v>
      </c>
      <c r="B43" s="4">
        <v>0</v>
      </c>
      <c r="C43" s="4">
        <v>0</v>
      </c>
      <c r="D43" s="4">
        <v>1</v>
      </c>
      <c r="E43" s="4">
        <v>233</v>
      </c>
      <c r="F43" s="4">
        <v>0</v>
      </c>
      <c r="G43" s="4" t="s">
        <v>228</v>
      </c>
      <c r="H43" s="4" t="s">
        <v>229</v>
      </c>
      <c r="I43" s="4"/>
      <c r="J43" s="4"/>
      <c r="K43" s="4">
        <v>233</v>
      </c>
      <c r="L43" s="4">
        <v>24</v>
      </c>
      <c r="M43" s="4">
        <v>3</v>
      </c>
      <c r="N43" s="4" t="s">
        <v>3</v>
      </c>
      <c r="O43" s="4">
        <v>2</v>
      </c>
      <c r="P43" s="4"/>
    </row>
    <row r="44" spans="1:16" x14ac:dyDescent="0.2">
      <c r="A44" s="4">
        <v>50</v>
      </c>
      <c r="B44" s="4">
        <v>0</v>
      </c>
      <c r="C44" s="4">
        <v>0</v>
      </c>
      <c r="D44" s="4">
        <v>1</v>
      </c>
      <c r="E44" s="4">
        <v>210</v>
      </c>
      <c r="F44" s="4">
        <v>90922.75</v>
      </c>
      <c r="G44" s="4" t="s">
        <v>230</v>
      </c>
      <c r="H44" s="4" t="s">
        <v>231</v>
      </c>
      <c r="I44" s="4"/>
      <c r="J44" s="4"/>
      <c r="K44" s="4">
        <v>210</v>
      </c>
      <c r="L44" s="4">
        <v>25</v>
      </c>
      <c r="M44" s="4">
        <v>3</v>
      </c>
      <c r="N44" s="4" t="s">
        <v>3</v>
      </c>
      <c r="O44" s="4">
        <v>2</v>
      </c>
      <c r="P44" s="4"/>
    </row>
    <row r="45" spans="1:16" x14ac:dyDescent="0.2">
      <c r="A45" s="4">
        <v>50</v>
      </c>
      <c r="B45" s="4">
        <v>0</v>
      </c>
      <c r="C45" s="4">
        <v>0</v>
      </c>
      <c r="D45" s="4">
        <v>1</v>
      </c>
      <c r="E45" s="4">
        <v>211</v>
      </c>
      <c r="F45" s="4">
        <v>43595.49</v>
      </c>
      <c r="G45" s="4" t="s">
        <v>232</v>
      </c>
      <c r="H45" s="4" t="s">
        <v>233</v>
      </c>
      <c r="I45" s="4"/>
      <c r="J45" s="4"/>
      <c r="K45" s="4">
        <v>211</v>
      </c>
      <c r="L45" s="4">
        <v>26</v>
      </c>
      <c r="M45" s="4">
        <v>3</v>
      </c>
      <c r="N45" s="4" t="s">
        <v>3</v>
      </c>
      <c r="O45" s="4">
        <v>2</v>
      </c>
      <c r="P45" s="4"/>
    </row>
    <row r="46" spans="1:16" x14ac:dyDescent="0.2">
      <c r="A46" s="4">
        <v>50</v>
      </c>
      <c r="B46" s="4">
        <v>0</v>
      </c>
      <c r="C46" s="4">
        <v>0</v>
      </c>
      <c r="D46" s="4">
        <v>1</v>
      </c>
      <c r="E46" s="4">
        <v>224</v>
      </c>
      <c r="F46" s="4">
        <v>880690.9</v>
      </c>
      <c r="G46" s="4" t="s">
        <v>234</v>
      </c>
      <c r="H46" s="4" t="s">
        <v>235</v>
      </c>
      <c r="I46" s="4"/>
      <c r="J46" s="4"/>
      <c r="K46" s="4">
        <v>224</v>
      </c>
      <c r="L46" s="4">
        <v>27</v>
      </c>
      <c r="M46" s="4">
        <v>3</v>
      </c>
      <c r="N46" s="4" t="s">
        <v>3</v>
      </c>
      <c r="O46" s="4">
        <v>2</v>
      </c>
      <c r="P46" s="4"/>
    </row>
    <row r="47" spans="1:16" x14ac:dyDescent="0.2">
      <c r="A47" s="4">
        <v>50</v>
      </c>
      <c r="B47" s="4">
        <v>1</v>
      </c>
      <c r="C47" s="4">
        <v>0</v>
      </c>
      <c r="D47" s="4">
        <v>2</v>
      </c>
      <c r="E47" s="4">
        <v>0</v>
      </c>
      <c r="F47" s="4">
        <v>65260.97</v>
      </c>
      <c r="G47" s="4" t="s">
        <v>236</v>
      </c>
      <c r="H47" s="4" t="s">
        <v>208</v>
      </c>
      <c r="I47" s="4"/>
      <c r="J47" s="4"/>
      <c r="K47" s="4">
        <v>212</v>
      </c>
      <c r="L47" s="4">
        <v>28</v>
      </c>
      <c r="M47" s="4">
        <v>0</v>
      </c>
      <c r="N47" s="4" t="s">
        <v>3</v>
      </c>
      <c r="O47" s="4">
        <v>2</v>
      </c>
      <c r="P47" s="4"/>
    </row>
    <row r="48" spans="1:16" x14ac:dyDescent="0.2">
      <c r="A48" s="4">
        <v>50</v>
      </c>
      <c r="B48" s="4">
        <v>1</v>
      </c>
      <c r="C48" s="4">
        <v>0</v>
      </c>
      <c r="D48" s="4">
        <v>2</v>
      </c>
      <c r="E48" s="4">
        <v>0</v>
      </c>
      <c r="F48" s="4">
        <v>232787.4</v>
      </c>
      <c r="G48" s="4" t="s">
        <v>237</v>
      </c>
      <c r="H48" s="4" t="s">
        <v>238</v>
      </c>
      <c r="I48" s="4"/>
      <c r="J48" s="4"/>
      <c r="K48" s="4">
        <v>212</v>
      </c>
      <c r="L48" s="4">
        <v>29</v>
      </c>
      <c r="M48" s="4">
        <v>0</v>
      </c>
      <c r="N48" s="4" t="s">
        <v>3</v>
      </c>
      <c r="O48" s="4">
        <v>2</v>
      </c>
      <c r="P48" s="4"/>
    </row>
    <row r="49" spans="1:50" x14ac:dyDescent="0.2">
      <c r="A49" s="4">
        <v>50</v>
      </c>
      <c r="B49" s="4">
        <v>1</v>
      </c>
      <c r="C49" s="4">
        <v>0</v>
      </c>
      <c r="D49" s="4">
        <v>2</v>
      </c>
      <c r="E49" s="4">
        <v>0</v>
      </c>
      <c r="F49" s="4">
        <v>448124.29</v>
      </c>
      <c r="G49" s="4" t="s">
        <v>239</v>
      </c>
      <c r="H49" s="4" t="s">
        <v>240</v>
      </c>
      <c r="I49" s="4"/>
      <c r="J49" s="4"/>
      <c r="K49" s="4">
        <v>212</v>
      </c>
      <c r="L49" s="4">
        <v>30</v>
      </c>
      <c r="M49" s="4">
        <v>0</v>
      </c>
      <c r="N49" s="4" t="s">
        <v>3</v>
      </c>
      <c r="O49" s="4">
        <v>2</v>
      </c>
      <c r="P49" s="4"/>
    </row>
    <row r="50" spans="1:50" x14ac:dyDescent="0.2">
      <c r="A50" s="4">
        <v>50</v>
      </c>
      <c r="B50" s="4">
        <v>1</v>
      </c>
      <c r="C50" s="4">
        <v>0</v>
      </c>
      <c r="D50" s="4">
        <v>2</v>
      </c>
      <c r="E50" s="4">
        <v>0</v>
      </c>
      <c r="F50" s="4">
        <v>90922.75</v>
      </c>
      <c r="G50" s="4" t="s">
        <v>241</v>
      </c>
      <c r="H50" s="4" t="s">
        <v>230</v>
      </c>
      <c r="I50" s="4"/>
      <c r="J50" s="4"/>
      <c r="K50" s="4">
        <v>212</v>
      </c>
      <c r="L50" s="4">
        <v>31</v>
      </c>
      <c r="M50" s="4">
        <v>0</v>
      </c>
      <c r="N50" s="4" t="s">
        <v>3</v>
      </c>
      <c r="O50" s="4">
        <v>2</v>
      </c>
      <c r="P50" s="4"/>
    </row>
    <row r="51" spans="1:50" x14ac:dyDescent="0.2">
      <c r="A51" s="4">
        <v>50</v>
      </c>
      <c r="B51" s="4">
        <v>1</v>
      </c>
      <c r="C51" s="4">
        <v>0</v>
      </c>
      <c r="D51" s="4">
        <v>2</v>
      </c>
      <c r="E51" s="4">
        <v>0</v>
      </c>
      <c r="F51" s="4">
        <v>43595.49</v>
      </c>
      <c r="G51" s="4" t="s">
        <v>242</v>
      </c>
      <c r="H51" s="4" t="s">
        <v>243</v>
      </c>
      <c r="I51" s="4"/>
      <c r="J51" s="4"/>
      <c r="K51" s="4">
        <v>212</v>
      </c>
      <c r="L51" s="4">
        <v>32</v>
      </c>
      <c r="M51" s="4">
        <v>0</v>
      </c>
      <c r="N51" s="4" t="s">
        <v>3</v>
      </c>
      <c r="O51" s="4">
        <v>2</v>
      </c>
      <c r="P51" s="4"/>
    </row>
    <row r="52" spans="1:50" x14ac:dyDescent="0.2">
      <c r="A52" s="4">
        <v>50</v>
      </c>
      <c r="B52" s="4">
        <v>1</v>
      </c>
      <c r="C52" s="4">
        <v>0</v>
      </c>
      <c r="D52" s="4">
        <v>2</v>
      </c>
      <c r="E52" s="4">
        <v>0</v>
      </c>
      <c r="F52" s="4">
        <v>880690.9</v>
      </c>
      <c r="G52" s="4" t="s">
        <v>244</v>
      </c>
      <c r="H52" s="4" t="s">
        <v>234</v>
      </c>
      <c r="I52" s="4"/>
      <c r="J52" s="4"/>
      <c r="K52" s="4">
        <v>212</v>
      </c>
      <c r="L52" s="4">
        <v>33</v>
      </c>
      <c r="M52" s="4">
        <v>0</v>
      </c>
      <c r="N52" s="4" t="s">
        <v>3</v>
      </c>
      <c r="O52" s="4">
        <v>2</v>
      </c>
      <c r="P52" s="4"/>
    </row>
    <row r="53" spans="1:50" x14ac:dyDescent="0.2">
      <c r="A53" s="4">
        <v>50</v>
      </c>
      <c r="B53" s="4">
        <v>1</v>
      </c>
      <c r="C53" s="4">
        <v>0</v>
      </c>
      <c r="D53" s="4">
        <v>2</v>
      </c>
      <c r="E53" s="4">
        <v>0</v>
      </c>
      <c r="F53" s="4">
        <v>176138.18</v>
      </c>
      <c r="G53" s="4" t="s">
        <v>245</v>
      </c>
      <c r="H53" s="4" t="s">
        <v>246</v>
      </c>
      <c r="I53" s="4"/>
      <c r="J53" s="4"/>
      <c r="K53" s="4">
        <v>212</v>
      </c>
      <c r="L53" s="4">
        <v>34</v>
      </c>
      <c r="M53" s="4">
        <v>0</v>
      </c>
      <c r="N53" s="4" t="s">
        <v>3</v>
      </c>
      <c r="O53" s="4">
        <v>2</v>
      </c>
      <c r="P53" s="4"/>
    </row>
    <row r="54" spans="1:50" x14ac:dyDescent="0.2">
      <c r="A54" s="4">
        <v>50</v>
      </c>
      <c r="B54" s="4">
        <v>1</v>
      </c>
      <c r="C54" s="4">
        <v>0</v>
      </c>
      <c r="D54" s="4">
        <v>2</v>
      </c>
      <c r="E54" s="4">
        <v>213</v>
      </c>
      <c r="F54" s="4">
        <v>1056829.08</v>
      </c>
      <c r="G54" s="4" t="s">
        <v>247</v>
      </c>
      <c r="H54" s="4" t="s">
        <v>248</v>
      </c>
      <c r="I54" s="4"/>
      <c r="J54" s="4"/>
      <c r="K54" s="4">
        <v>212</v>
      </c>
      <c r="L54" s="4">
        <v>35</v>
      </c>
      <c r="M54" s="4">
        <v>0</v>
      </c>
      <c r="N54" s="4" t="s">
        <v>3</v>
      </c>
      <c r="O54" s="4">
        <v>2</v>
      </c>
      <c r="P54" s="4"/>
    </row>
    <row r="56" spans="1:50" x14ac:dyDescent="0.2">
      <c r="A56">
        <v>-1</v>
      </c>
    </row>
    <row r="59" spans="1:50" x14ac:dyDescent="0.2">
      <c r="A59" s="3">
        <v>75</v>
      </c>
      <c r="B59" s="3" t="s">
        <v>313</v>
      </c>
      <c r="C59" s="3">
        <v>2023</v>
      </c>
      <c r="D59" s="3">
        <v>0</v>
      </c>
      <c r="E59" s="3">
        <v>12</v>
      </c>
      <c r="F59" s="3"/>
      <c r="G59" s="3">
        <v>0</v>
      </c>
      <c r="H59" s="3">
        <v>1</v>
      </c>
      <c r="I59" s="3">
        <v>0</v>
      </c>
      <c r="J59" s="3">
        <v>1</v>
      </c>
      <c r="K59" s="3">
        <v>0</v>
      </c>
      <c r="L59" s="3">
        <v>0</v>
      </c>
      <c r="M59" s="3">
        <v>0</v>
      </c>
      <c r="N59" s="3">
        <v>40777027</v>
      </c>
      <c r="O59" s="3">
        <v>1</v>
      </c>
    </row>
    <row r="60" spans="1:50" x14ac:dyDescent="0.2">
      <c r="A60" s="5">
        <v>1</v>
      </c>
      <c r="B60" s="5" t="s">
        <v>314</v>
      </c>
      <c r="C60" s="5" t="s">
        <v>315</v>
      </c>
      <c r="D60" s="5">
        <v>2023</v>
      </c>
      <c r="E60" s="5">
        <v>12</v>
      </c>
      <c r="F60" s="5">
        <v>1</v>
      </c>
      <c r="G60" s="5">
        <v>1</v>
      </c>
      <c r="H60" s="5">
        <v>0</v>
      </c>
      <c r="I60" s="5">
        <v>2</v>
      </c>
      <c r="J60" s="5">
        <v>1</v>
      </c>
      <c r="K60" s="5">
        <v>1</v>
      </c>
      <c r="L60" s="5">
        <v>1</v>
      </c>
      <c r="M60" s="5">
        <v>1</v>
      </c>
      <c r="N60" s="5">
        <v>1</v>
      </c>
      <c r="O60" s="5">
        <v>1</v>
      </c>
      <c r="P60" s="5">
        <v>1</v>
      </c>
      <c r="Q60" s="5">
        <v>1</v>
      </c>
      <c r="R60" s="5" t="s">
        <v>3</v>
      </c>
      <c r="S60" s="5" t="s">
        <v>3</v>
      </c>
      <c r="T60" s="5" t="s">
        <v>3</v>
      </c>
      <c r="U60" s="5" t="s">
        <v>3</v>
      </c>
      <c r="V60" s="5" t="s">
        <v>3</v>
      </c>
      <c r="W60" s="5" t="s">
        <v>3</v>
      </c>
      <c r="X60" s="5" t="s">
        <v>3</v>
      </c>
      <c r="Y60" s="5" t="s">
        <v>3</v>
      </c>
      <c r="Z60" s="5" t="s">
        <v>3</v>
      </c>
      <c r="AA60" s="5" t="s">
        <v>3</v>
      </c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>
        <v>40777028</v>
      </c>
      <c r="AO60" s="5"/>
      <c r="AP60" s="5"/>
      <c r="AQ60" s="5"/>
      <c r="AR60" s="5"/>
      <c r="AS60" s="5"/>
      <c r="AT60" s="5"/>
      <c r="AU60" s="5"/>
      <c r="AV60" s="5"/>
      <c r="AW60" s="5"/>
      <c r="AX60" s="5"/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O118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19" x14ac:dyDescent="0.2">
      <c r="A1">
        <f>ROW(Source!A24)</f>
        <v>24</v>
      </c>
      <c r="B1">
        <v>40777027</v>
      </c>
      <c r="C1">
        <v>40777149</v>
      </c>
      <c r="D1">
        <v>23129555</v>
      </c>
      <c r="E1">
        <v>1</v>
      </c>
      <c r="F1">
        <v>1</v>
      </c>
      <c r="G1">
        <v>1</v>
      </c>
      <c r="H1">
        <v>1</v>
      </c>
      <c r="I1" t="s">
        <v>317</v>
      </c>
      <c r="J1" t="s">
        <v>3</v>
      </c>
      <c r="K1" t="s">
        <v>318</v>
      </c>
      <c r="L1">
        <v>1369</v>
      </c>
      <c r="N1">
        <v>1013</v>
      </c>
      <c r="O1" t="s">
        <v>319</v>
      </c>
      <c r="P1" t="s">
        <v>319</v>
      </c>
      <c r="Q1">
        <v>1</v>
      </c>
      <c r="W1">
        <v>0</v>
      </c>
      <c r="X1">
        <v>1250814213</v>
      </c>
      <c r="Y1">
        <f t="shared" ref="Y1:Y8" si="0">AT1</f>
        <v>13.57</v>
      </c>
      <c r="AA1">
        <v>0</v>
      </c>
      <c r="AB1">
        <v>0</v>
      </c>
      <c r="AC1">
        <v>0</v>
      </c>
      <c r="AD1">
        <v>7.29</v>
      </c>
      <c r="AE1">
        <v>0</v>
      </c>
      <c r="AF1">
        <v>0</v>
      </c>
      <c r="AG1">
        <v>0</v>
      </c>
      <c r="AH1">
        <v>7.29</v>
      </c>
      <c r="AI1">
        <v>1</v>
      </c>
      <c r="AJ1">
        <v>1</v>
      </c>
      <c r="AK1">
        <v>1</v>
      </c>
      <c r="AL1">
        <v>1</v>
      </c>
      <c r="AM1">
        <v>-2</v>
      </c>
      <c r="AN1">
        <v>0</v>
      </c>
      <c r="AO1">
        <v>1</v>
      </c>
      <c r="AP1">
        <v>1</v>
      </c>
      <c r="AQ1">
        <v>0</v>
      </c>
      <c r="AR1">
        <v>0</v>
      </c>
      <c r="AS1" t="s">
        <v>3</v>
      </c>
      <c r="AT1">
        <v>13.57</v>
      </c>
      <c r="AU1" t="s">
        <v>3</v>
      </c>
      <c r="AV1">
        <v>1</v>
      </c>
      <c r="AW1">
        <v>2</v>
      </c>
      <c r="AX1">
        <v>40777153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U1">
        <f>ROUND(AT1*Source!I24*AH1*AL1,2)</f>
        <v>2.4700000000000002</v>
      </c>
      <c r="CV1">
        <f>ROUND(Y1*Source!I24,9)</f>
        <v>0.33925</v>
      </c>
      <c r="CW1">
        <v>0</v>
      </c>
      <c r="CX1">
        <f>ROUND(Y1*Source!I24,9)</f>
        <v>0.33925</v>
      </c>
      <c r="CY1">
        <f>AD1</f>
        <v>7.29</v>
      </c>
      <c r="CZ1">
        <f>AH1</f>
        <v>7.29</v>
      </c>
      <c r="DA1">
        <f>AL1</f>
        <v>1</v>
      </c>
      <c r="DB1">
        <f t="shared" ref="DB1:DB8" si="1">ROUND(ROUND(AT1*CZ1,2),2)</f>
        <v>98.93</v>
      </c>
      <c r="DC1">
        <f t="shared" ref="DC1:DC8" si="2">ROUND(ROUND(AT1*AG1,2),2)</f>
        <v>0</v>
      </c>
      <c r="DD1" t="s">
        <v>3</v>
      </c>
      <c r="DE1" t="s">
        <v>3</v>
      </c>
      <c r="DF1">
        <f t="shared" ref="DF1:DF8" si="3">ROUND(ROUND(AE1,2)*CX1,2)</f>
        <v>0</v>
      </c>
      <c r="DG1">
        <f>ROUND(ROUND(AF1,2)*CX1,2)</f>
        <v>0</v>
      </c>
      <c r="DH1">
        <f>ROUND(ROUND(AG1,2)*CX1,2)</f>
        <v>0</v>
      </c>
      <c r="DI1">
        <f t="shared" ref="DI1:DI32" si="4">ROUND(ROUND(AH1,2)*CX1,2)</f>
        <v>2.4700000000000002</v>
      </c>
      <c r="DJ1">
        <f>DI1</f>
        <v>2.4700000000000002</v>
      </c>
      <c r="DK1">
        <v>0</v>
      </c>
      <c r="DL1" t="s">
        <v>3</v>
      </c>
      <c r="DM1">
        <v>0</v>
      </c>
      <c r="DN1" t="s">
        <v>3</v>
      </c>
      <c r="DO1">
        <v>0</v>
      </c>
    </row>
    <row r="2" spans="1:119" x14ac:dyDescent="0.2">
      <c r="A2">
        <f>ROW(Source!A24)</f>
        <v>24</v>
      </c>
      <c r="B2">
        <v>40777027</v>
      </c>
      <c r="C2">
        <v>40777149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26</v>
      </c>
      <c r="J2" t="s">
        <v>3</v>
      </c>
      <c r="K2" t="s">
        <v>320</v>
      </c>
      <c r="L2">
        <v>608254</v>
      </c>
      <c r="N2">
        <v>1013</v>
      </c>
      <c r="O2" t="s">
        <v>321</v>
      </c>
      <c r="P2" t="s">
        <v>321</v>
      </c>
      <c r="Q2">
        <v>1</v>
      </c>
      <c r="W2">
        <v>0</v>
      </c>
      <c r="X2">
        <v>-185737400</v>
      </c>
      <c r="Y2">
        <f t="shared" si="0"/>
        <v>29.5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M2">
        <v>-2</v>
      </c>
      <c r="AN2">
        <v>0</v>
      </c>
      <c r="AO2">
        <v>1</v>
      </c>
      <c r="AP2">
        <v>1</v>
      </c>
      <c r="AQ2">
        <v>0</v>
      </c>
      <c r="AR2">
        <v>0</v>
      </c>
      <c r="AS2" t="s">
        <v>3</v>
      </c>
      <c r="AT2">
        <v>29.5</v>
      </c>
      <c r="AU2" t="s">
        <v>3</v>
      </c>
      <c r="AV2">
        <v>2</v>
      </c>
      <c r="AW2">
        <v>2</v>
      </c>
      <c r="AX2">
        <v>40777154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V2">
        <v>0</v>
      </c>
      <c r="CW2">
        <v>0</v>
      </c>
      <c r="CX2">
        <f>ROUND(Y2*Source!I24,9)</f>
        <v>0.73750000000000004</v>
      </c>
      <c r="CY2">
        <f>AD2</f>
        <v>0</v>
      </c>
      <c r="CZ2">
        <f>AH2</f>
        <v>0</v>
      </c>
      <c r="DA2">
        <f>AL2</f>
        <v>1</v>
      </c>
      <c r="DB2">
        <f t="shared" si="1"/>
        <v>0</v>
      </c>
      <c r="DC2">
        <f t="shared" si="2"/>
        <v>0</v>
      </c>
      <c r="DD2" t="s">
        <v>3</v>
      </c>
      <c r="DE2" t="s">
        <v>3</v>
      </c>
      <c r="DF2">
        <f t="shared" si="3"/>
        <v>0</v>
      </c>
      <c r="DG2">
        <f>ROUND(ROUND(AF2,2)*CX2,2)</f>
        <v>0</v>
      </c>
      <c r="DH2">
        <f>ROUND(ROUND(AG2,2)*CX2,2)</f>
        <v>0</v>
      </c>
      <c r="DI2">
        <f t="shared" si="4"/>
        <v>0</v>
      </c>
      <c r="DJ2">
        <f>DI2</f>
        <v>0</v>
      </c>
      <c r="DK2">
        <v>0</v>
      </c>
      <c r="DL2" t="s">
        <v>3</v>
      </c>
      <c r="DM2">
        <v>0</v>
      </c>
      <c r="DN2" t="s">
        <v>3</v>
      </c>
      <c r="DO2">
        <v>0</v>
      </c>
    </row>
    <row r="3" spans="1:119" x14ac:dyDescent="0.2">
      <c r="A3">
        <f>ROW(Source!A24)</f>
        <v>24</v>
      </c>
      <c r="B3">
        <v>40777027</v>
      </c>
      <c r="C3">
        <v>40777149</v>
      </c>
      <c r="D3">
        <v>38685363</v>
      </c>
      <c r="E3">
        <v>1</v>
      </c>
      <c r="F3">
        <v>1</v>
      </c>
      <c r="G3">
        <v>1</v>
      </c>
      <c r="H3">
        <v>2</v>
      </c>
      <c r="I3" t="s">
        <v>322</v>
      </c>
      <c r="J3" t="s">
        <v>323</v>
      </c>
      <c r="K3" t="s">
        <v>324</v>
      </c>
      <c r="L3">
        <v>1368</v>
      </c>
      <c r="N3">
        <v>1011</v>
      </c>
      <c r="O3" t="s">
        <v>325</v>
      </c>
      <c r="P3" t="s">
        <v>325</v>
      </c>
      <c r="Q3">
        <v>1</v>
      </c>
      <c r="W3">
        <v>0</v>
      </c>
      <c r="X3">
        <v>-1017142831</v>
      </c>
      <c r="Y3">
        <f t="shared" si="0"/>
        <v>29.5</v>
      </c>
      <c r="AA3">
        <v>0</v>
      </c>
      <c r="AB3">
        <v>1809.73</v>
      </c>
      <c r="AC3">
        <v>393.37</v>
      </c>
      <c r="AD3">
        <v>0</v>
      </c>
      <c r="AE3">
        <v>0</v>
      </c>
      <c r="AF3">
        <v>136.79</v>
      </c>
      <c r="AG3">
        <v>12.1</v>
      </c>
      <c r="AH3">
        <v>0</v>
      </c>
      <c r="AI3">
        <v>1</v>
      </c>
      <c r="AJ3">
        <v>13.23</v>
      </c>
      <c r="AK3">
        <v>32.51</v>
      </c>
      <c r="AL3">
        <v>1</v>
      </c>
      <c r="AM3">
        <v>2</v>
      </c>
      <c r="AN3">
        <v>0</v>
      </c>
      <c r="AO3">
        <v>1</v>
      </c>
      <c r="AP3">
        <v>1</v>
      </c>
      <c r="AQ3">
        <v>0</v>
      </c>
      <c r="AR3">
        <v>0</v>
      </c>
      <c r="AS3" t="s">
        <v>3</v>
      </c>
      <c r="AT3">
        <v>29.5</v>
      </c>
      <c r="AU3" t="s">
        <v>3</v>
      </c>
      <c r="AV3">
        <v>0</v>
      </c>
      <c r="AW3">
        <v>2</v>
      </c>
      <c r="AX3">
        <v>40777155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V3">
        <v>0</v>
      </c>
      <c r="CW3">
        <f>ROUND(Y3*Source!I24,9)</f>
        <v>0.73750000000000004</v>
      </c>
      <c r="CX3">
        <f>ROUND(Y3*Source!I24,9)</f>
        <v>0.73750000000000004</v>
      </c>
      <c r="CY3">
        <f>AB3</f>
        <v>1809.73</v>
      </c>
      <c r="CZ3">
        <f>AF3</f>
        <v>136.79</v>
      </c>
      <c r="DA3">
        <f>AJ3</f>
        <v>13.23</v>
      </c>
      <c r="DB3">
        <f t="shared" si="1"/>
        <v>4035.31</v>
      </c>
      <c r="DC3">
        <f t="shared" si="2"/>
        <v>356.95</v>
      </c>
      <c r="DD3" t="s">
        <v>3</v>
      </c>
      <c r="DE3" t="s">
        <v>3</v>
      </c>
      <c r="DF3">
        <f t="shared" si="3"/>
        <v>0</v>
      </c>
      <c r="DG3">
        <f>ROUND(ROUND(AF3*AJ3,2)*CX3,2)</f>
        <v>1334.68</v>
      </c>
      <c r="DH3">
        <f>ROUND(ROUND(AG3*AK3,2)*CX3,2)</f>
        <v>290.11</v>
      </c>
      <c r="DI3">
        <f t="shared" si="4"/>
        <v>0</v>
      </c>
      <c r="DJ3">
        <f>DG3</f>
        <v>1334.68</v>
      </c>
      <c r="DK3">
        <v>0</v>
      </c>
      <c r="DL3" t="s">
        <v>3</v>
      </c>
      <c r="DM3">
        <v>0</v>
      </c>
      <c r="DN3" t="s">
        <v>3</v>
      </c>
      <c r="DO3">
        <v>0</v>
      </c>
    </row>
    <row r="4" spans="1:119" x14ac:dyDescent="0.2">
      <c r="A4">
        <f>ROW(Source!A25)</f>
        <v>25</v>
      </c>
      <c r="B4">
        <v>40777027</v>
      </c>
      <c r="C4">
        <v>40777156</v>
      </c>
      <c r="D4">
        <v>121548</v>
      </c>
      <c r="E4">
        <v>1</v>
      </c>
      <c r="F4">
        <v>1</v>
      </c>
      <c r="G4">
        <v>1</v>
      </c>
      <c r="H4">
        <v>1</v>
      </c>
      <c r="I4" t="s">
        <v>26</v>
      </c>
      <c r="J4" t="s">
        <v>3</v>
      </c>
      <c r="K4" t="s">
        <v>320</v>
      </c>
      <c r="L4">
        <v>608254</v>
      </c>
      <c r="N4">
        <v>1013</v>
      </c>
      <c r="O4" t="s">
        <v>321</v>
      </c>
      <c r="P4" t="s">
        <v>321</v>
      </c>
      <c r="Q4">
        <v>1</v>
      </c>
      <c r="W4">
        <v>0</v>
      </c>
      <c r="X4">
        <v>-185737400</v>
      </c>
      <c r="Y4">
        <f t="shared" si="0"/>
        <v>8.8699999999999992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1</v>
      </c>
      <c r="AJ4">
        <v>1</v>
      </c>
      <c r="AK4">
        <v>1</v>
      </c>
      <c r="AL4">
        <v>1</v>
      </c>
      <c r="AM4">
        <v>-2</v>
      </c>
      <c r="AN4">
        <v>0</v>
      </c>
      <c r="AO4">
        <v>1</v>
      </c>
      <c r="AP4">
        <v>1</v>
      </c>
      <c r="AQ4">
        <v>0</v>
      </c>
      <c r="AR4">
        <v>0</v>
      </c>
      <c r="AS4" t="s">
        <v>3</v>
      </c>
      <c r="AT4">
        <v>8.8699999999999992</v>
      </c>
      <c r="AU4" t="s">
        <v>3</v>
      </c>
      <c r="AV4">
        <v>2</v>
      </c>
      <c r="AW4">
        <v>2</v>
      </c>
      <c r="AX4">
        <v>40777159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V4">
        <v>0</v>
      </c>
      <c r="CW4">
        <v>0</v>
      </c>
      <c r="CX4">
        <f>ROUND(Y4*Source!I25,9)</f>
        <v>0.22175</v>
      </c>
      <c r="CY4">
        <f>AD4</f>
        <v>0</v>
      </c>
      <c r="CZ4">
        <f>AH4</f>
        <v>0</v>
      </c>
      <c r="DA4">
        <f>AL4</f>
        <v>1</v>
      </c>
      <c r="DB4">
        <f t="shared" si="1"/>
        <v>0</v>
      </c>
      <c r="DC4">
        <f t="shared" si="2"/>
        <v>0</v>
      </c>
      <c r="DD4" t="s">
        <v>3</v>
      </c>
      <c r="DE4" t="s">
        <v>3</v>
      </c>
      <c r="DF4">
        <f t="shared" si="3"/>
        <v>0</v>
      </c>
      <c r="DG4">
        <f>ROUND(ROUND(AF4,2)*CX4,2)</f>
        <v>0</v>
      </c>
      <c r="DH4">
        <f>ROUND(ROUND(AG4,2)*CX4,2)</f>
        <v>0</v>
      </c>
      <c r="DI4">
        <f t="shared" si="4"/>
        <v>0</v>
      </c>
      <c r="DJ4">
        <f>DI4</f>
        <v>0</v>
      </c>
      <c r="DK4">
        <v>0</v>
      </c>
      <c r="DL4" t="s">
        <v>3</v>
      </c>
      <c r="DM4">
        <v>0</v>
      </c>
      <c r="DN4" t="s">
        <v>3</v>
      </c>
      <c r="DO4">
        <v>0</v>
      </c>
    </row>
    <row r="5" spans="1:119" x14ac:dyDescent="0.2">
      <c r="A5">
        <f>ROW(Source!A25)</f>
        <v>25</v>
      </c>
      <c r="B5">
        <v>40777027</v>
      </c>
      <c r="C5">
        <v>40777156</v>
      </c>
      <c r="D5">
        <v>38685434</v>
      </c>
      <c r="E5">
        <v>1</v>
      </c>
      <c r="F5">
        <v>1</v>
      </c>
      <c r="G5">
        <v>1</v>
      </c>
      <c r="H5">
        <v>2</v>
      </c>
      <c r="I5" t="s">
        <v>326</v>
      </c>
      <c r="J5" t="s">
        <v>327</v>
      </c>
      <c r="K5" t="s">
        <v>328</v>
      </c>
      <c r="L5">
        <v>1368</v>
      </c>
      <c r="N5">
        <v>1011</v>
      </c>
      <c r="O5" t="s">
        <v>325</v>
      </c>
      <c r="P5" t="s">
        <v>325</v>
      </c>
      <c r="Q5">
        <v>1</v>
      </c>
      <c r="W5">
        <v>0</v>
      </c>
      <c r="X5">
        <v>-521383579</v>
      </c>
      <c r="Y5">
        <f t="shared" si="0"/>
        <v>8.8699999999999992</v>
      </c>
      <c r="AA5">
        <v>0</v>
      </c>
      <c r="AB5">
        <v>1479.96</v>
      </c>
      <c r="AC5">
        <v>336.48</v>
      </c>
      <c r="AD5">
        <v>0</v>
      </c>
      <c r="AE5">
        <v>0</v>
      </c>
      <c r="AF5">
        <v>102.49</v>
      </c>
      <c r="AG5">
        <v>10.35</v>
      </c>
      <c r="AH5">
        <v>0</v>
      </c>
      <c r="AI5">
        <v>1</v>
      </c>
      <c r="AJ5">
        <v>14.44</v>
      </c>
      <c r="AK5">
        <v>32.51</v>
      </c>
      <c r="AL5">
        <v>1</v>
      </c>
      <c r="AM5">
        <v>2</v>
      </c>
      <c r="AN5">
        <v>0</v>
      </c>
      <c r="AO5">
        <v>1</v>
      </c>
      <c r="AP5">
        <v>1</v>
      </c>
      <c r="AQ5">
        <v>0</v>
      </c>
      <c r="AR5">
        <v>0</v>
      </c>
      <c r="AS5" t="s">
        <v>3</v>
      </c>
      <c r="AT5">
        <v>8.8699999999999992</v>
      </c>
      <c r="AU5" t="s">
        <v>3</v>
      </c>
      <c r="AV5">
        <v>0</v>
      </c>
      <c r="AW5">
        <v>2</v>
      </c>
      <c r="AX5">
        <v>40777160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V5">
        <v>0</v>
      </c>
      <c r="CW5">
        <f>ROUND(Y5*Source!I25,9)</f>
        <v>0.22175</v>
      </c>
      <c r="CX5">
        <f>ROUND(Y5*Source!I25,9)</f>
        <v>0.22175</v>
      </c>
      <c r="CY5">
        <f>AB5</f>
        <v>1479.96</v>
      </c>
      <c r="CZ5">
        <f>AF5</f>
        <v>102.49</v>
      </c>
      <c r="DA5">
        <f>AJ5</f>
        <v>14.44</v>
      </c>
      <c r="DB5">
        <f t="shared" si="1"/>
        <v>909.09</v>
      </c>
      <c r="DC5">
        <f t="shared" si="2"/>
        <v>91.8</v>
      </c>
      <c r="DD5" t="s">
        <v>3</v>
      </c>
      <c r="DE5" t="s">
        <v>3</v>
      </c>
      <c r="DF5">
        <f t="shared" si="3"/>
        <v>0</v>
      </c>
      <c r="DG5">
        <f>ROUND(ROUND(AF5*AJ5,2)*CX5,2)</f>
        <v>328.18</v>
      </c>
      <c r="DH5">
        <f>ROUND(ROUND(AG5*AK5,2)*CX5,2)</f>
        <v>74.61</v>
      </c>
      <c r="DI5">
        <f t="shared" si="4"/>
        <v>0</v>
      </c>
      <c r="DJ5">
        <f>DG5</f>
        <v>328.18</v>
      </c>
      <c r="DK5">
        <v>0</v>
      </c>
      <c r="DL5" t="s">
        <v>3</v>
      </c>
      <c r="DM5">
        <v>0</v>
      </c>
      <c r="DN5" t="s">
        <v>3</v>
      </c>
      <c r="DO5">
        <v>0</v>
      </c>
    </row>
    <row r="6" spans="1:119" x14ac:dyDescent="0.2">
      <c r="A6">
        <f>ROW(Source!A26)</f>
        <v>26</v>
      </c>
      <c r="B6">
        <v>40777027</v>
      </c>
      <c r="C6">
        <v>40777161</v>
      </c>
      <c r="D6">
        <v>23129555</v>
      </c>
      <c r="E6">
        <v>1</v>
      </c>
      <c r="F6">
        <v>1</v>
      </c>
      <c r="G6">
        <v>1</v>
      </c>
      <c r="H6">
        <v>1</v>
      </c>
      <c r="I6" t="s">
        <v>317</v>
      </c>
      <c r="J6" t="s">
        <v>3</v>
      </c>
      <c r="K6" t="s">
        <v>318</v>
      </c>
      <c r="L6">
        <v>1369</v>
      </c>
      <c r="N6">
        <v>1013</v>
      </c>
      <c r="O6" t="s">
        <v>319</v>
      </c>
      <c r="P6" t="s">
        <v>319</v>
      </c>
      <c r="Q6">
        <v>1</v>
      </c>
      <c r="W6">
        <v>0</v>
      </c>
      <c r="X6">
        <v>1250814213</v>
      </c>
      <c r="Y6">
        <f t="shared" si="0"/>
        <v>154</v>
      </c>
      <c r="AA6">
        <v>0</v>
      </c>
      <c r="AB6">
        <v>0</v>
      </c>
      <c r="AC6">
        <v>0</v>
      </c>
      <c r="AD6">
        <v>7.29</v>
      </c>
      <c r="AE6">
        <v>0</v>
      </c>
      <c r="AF6">
        <v>0</v>
      </c>
      <c r="AG6">
        <v>0</v>
      </c>
      <c r="AH6">
        <v>7.29</v>
      </c>
      <c r="AI6">
        <v>1</v>
      </c>
      <c r="AJ6">
        <v>1</v>
      </c>
      <c r="AK6">
        <v>1</v>
      </c>
      <c r="AL6">
        <v>1</v>
      </c>
      <c r="AM6">
        <v>-2</v>
      </c>
      <c r="AN6">
        <v>0</v>
      </c>
      <c r="AO6">
        <v>1</v>
      </c>
      <c r="AP6">
        <v>1</v>
      </c>
      <c r="AQ6">
        <v>0</v>
      </c>
      <c r="AR6">
        <v>0</v>
      </c>
      <c r="AS6" t="s">
        <v>3</v>
      </c>
      <c r="AT6">
        <v>154</v>
      </c>
      <c r="AU6" t="s">
        <v>3</v>
      </c>
      <c r="AV6">
        <v>1</v>
      </c>
      <c r="AW6">
        <v>2</v>
      </c>
      <c r="AX6">
        <v>40777163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U6">
        <f>ROUND(AT6*Source!I26*AH6*AL6,2)</f>
        <v>67.36</v>
      </c>
      <c r="CV6">
        <f>ROUND(Y6*Source!I26,9)</f>
        <v>9.24</v>
      </c>
      <c r="CW6">
        <v>0</v>
      </c>
      <c r="CX6">
        <f>ROUND(Y6*Source!I26,9)</f>
        <v>9.24</v>
      </c>
      <c r="CY6">
        <f>AD6</f>
        <v>7.29</v>
      </c>
      <c r="CZ6">
        <f>AH6</f>
        <v>7.29</v>
      </c>
      <c r="DA6">
        <f>AL6</f>
        <v>1</v>
      </c>
      <c r="DB6">
        <f t="shared" si="1"/>
        <v>1122.6600000000001</v>
      </c>
      <c r="DC6">
        <f t="shared" si="2"/>
        <v>0</v>
      </c>
      <c r="DD6" t="s">
        <v>3</v>
      </c>
      <c r="DE6" t="s">
        <v>3</v>
      </c>
      <c r="DF6">
        <f t="shared" si="3"/>
        <v>0</v>
      </c>
      <c r="DG6">
        <f t="shared" ref="DG6:DG18" si="5">ROUND(ROUND(AF6,2)*CX6,2)</f>
        <v>0</v>
      </c>
      <c r="DH6">
        <f t="shared" ref="DH6:DH18" si="6">ROUND(ROUND(AG6,2)*CX6,2)</f>
        <v>0</v>
      </c>
      <c r="DI6">
        <f t="shared" si="4"/>
        <v>67.36</v>
      </c>
      <c r="DJ6">
        <f>DI6</f>
        <v>67.36</v>
      </c>
      <c r="DK6">
        <v>0</v>
      </c>
      <c r="DL6" t="s">
        <v>3</v>
      </c>
      <c r="DM6">
        <v>0</v>
      </c>
      <c r="DN6" t="s">
        <v>3</v>
      </c>
      <c r="DO6">
        <v>0</v>
      </c>
    </row>
    <row r="7" spans="1:119" x14ac:dyDescent="0.2">
      <c r="A7">
        <f>ROW(Source!A27)</f>
        <v>27</v>
      </c>
      <c r="B7">
        <v>40777027</v>
      </c>
      <c r="C7">
        <v>40777164</v>
      </c>
      <c r="D7">
        <v>23135960</v>
      </c>
      <c r="E7">
        <v>1</v>
      </c>
      <c r="F7">
        <v>1</v>
      </c>
      <c r="G7">
        <v>1</v>
      </c>
      <c r="H7">
        <v>1</v>
      </c>
      <c r="I7" t="s">
        <v>329</v>
      </c>
      <c r="J7" t="s">
        <v>3</v>
      </c>
      <c r="K7" t="s">
        <v>330</v>
      </c>
      <c r="L7">
        <v>1369</v>
      </c>
      <c r="N7">
        <v>1013</v>
      </c>
      <c r="O7" t="s">
        <v>319</v>
      </c>
      <c r="P7" t="s">
        <v>319</v>
      </c>
      <c r="Q7">
        <v>1</v>
      </c>
      <c r="W7">
        <v>0</v>
      </c>
      <c r="X7">
        <v>-486278812</v>
      </c>
      <c r="Y7">
        <f t="shared" si="0"/>
        <v>97.2</v>
      </c>
      <c r="AA7">
        <v>0</v>
      </c>
      <c r="AB7">
        <v>0</v>
      </c>
      <c r="AC7">
        <v>0</v>
      </c>
      <c r="AD7">
        <v>7.01</v>
      </c>
      <c r="AE7">
        <v>0</v>
      </c>
      <c r="AF7">
        <v>0</v>
      </c>
      <c r="AG7">
        <v>0</v>
      </c>
      <c r="AH7">
        <v>7.01</v>
      </c>
      <c r="AI7">
        <v>1</v>
      </c>
      <c r="AJ7">
        <v>1</v>
      </c>
      <c r="AK7">
        <v>1</v>
      </c>
      <c r="AL7">
        <v>1</v>
      </c>
      <c r="AM7">
        <v>-2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97.2</v>
      </c>
      <c r="AU7" t="s">
        <v>3</v>
      </c>
      <c r="AV7">
        <v>1</v>
      </c>
      <c r="AW7">
        <v>2</v>
      </c>
      <c r="AX7">
        <v>40777166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U7">
        <f>ROUND(AT7*Source!I27*AH7*AL7,2)</f>
        <v>40.880000000000003</v>
      </c>
      <c r="CV7">
        <f>ROUND(Y7*Source!I27,9)</f>
        <v>5.8319999999999999</v>
      </c>
      <c r="CW7">
        <v>0</v>
      </c>
      <c r="CX7">
        <f>ROUND(Y7*Source!I27,9)</f>
        <v>5.8319999999999999</v>
      </c>
      <c r="CY7">
        <f>AD7</f>
        <v>7.01</v>
      </c>
      <c r="CZ7">
        <f>AH7</f>
        <v>7.01</v>
      </c>
      <c r="DA7">
        <f>AL7</f>
        <v>1</v>
      </c>
      <c r="DB7">
        <f t="shared" si="1"/>
        <v>681.37</v>
      </c>
      <c r="DC7">
        <f t="shared" si="2"/>
        <v>0</v>
      </c>
      <c r="DD7" t="s">
        <v>3</v>
      </c>
      <c r="DE7" t="s">
        <v>3</v>
      </c>
      <c r="DF7">
        <f t="shared" si="3"/>
        <v>0</v>
      </c>
      <c r="DG7">
        <f t="shared" si="5"/>
        <v>0</v>
      </c>
      <c r="DH7">
        <f t="shared" si="6"/>
        <v>0</v>
      </c>
      <c r="DI7">
        <f t="shared" si="4"/>
        <v>40.880000000000003</v>
      </c>
      <c r="DJ7">
        <f>DI7</f>
        <v>40.880000000000003</v>
      </c>
      <c r="DK7">
        <v>0</v>
      </c>
      <c r="DL7" t="s">
        <v>3</v>
      </c>
      <c r="DM7">
        <v>0</v>
      </c>
      <c r="DN7" t="s">
        <v>3</v>
      </c>
      <c r="DO7">
        <v>0</v>
      </c>
    </row>
    <row r="8" spans="1:119" x14ac:dyDescent="0.2">
      <c r="A8">
        <f>ROW(Source!A28)</f>
        <v>28</v>
      </c>
      <c r="B8">
        <v>40777027</v>
      </c>
      <c r="C8">
        <v>40777167</v>
      </c>
      <c r="D8">
        <v>23135014</v>
      </c>
      <c r="E8">
        <v>1</v>
      </c>
      <c r="F8">
        <v>1</v>
      </c>
      <c r="G8">
        <v>1</v>
      </c>
      <c r="H8">
        <v>1</v>
      </c>
      <c r="I8" t="s">
        <v>331</v>
      </c>
      <c r="J8" t="s">
        <v>3</v>
      </c>
      <c r="K8" t="s">
        <v>332</v>
      </c>
      <c r="L8">
        <v>1369</v>
      </c>
      <c r="N8">
        <v>1013</v>
      </c>
      <c r="O8" t="s">
        <v>319</v>
      </c>
      <c r="P8" t="s">
        <v>319</v>
      </c>
      <c r="Q8">
        <v>1</v>
      </c>
      <c r="W8">
        <v>0</v>
      </c>
      <c r="X8">
        <v>-883932286</v>
      </c>
      <c r="Y8">
        <f t="shared" si="0"/>
        <v>133</v>
      </c>
      <c r="AA8">
        <v>0</v>
      </c>
      <c r="AB8">
        <v>0</v>
      </c>
      <c r="AC8">
        <v>0</v>
      </c>
      <c r="AD8">
        <v>7.9</v>
      </c>
      <c r="AE8">
        <v>0</v>
      </c>
      <c r="AF8">
        <v>0</v>
      </c>
      <c r="AG8">
        <v>0</v>
      </c>
      <c r="AH8">
        <v>7.9</v>
      </c>
      <c r="AI8">
        <v>1</v>
      </c>
      <c r="AJ8">
        <v>1</v>
      </c>
      <c r="AK8">
        <v>1</v>
      </c>
      <c r="AL8">
        <v>1</v>
      </c>
      <c r="AM8">
        <v>-2</v>
      </c>
      <c r="AN8">
        <v>0</v>
      </c>
      <c r="AO8">
        <v>1</v>
      </c>
      <c r="AP8">
        <v>1</v>
      </c>
      <c r="AQ8">
        <v>0</v>
      </c>
      <c r="AR8">
        <v>0</v>
      </c>
      <c r="AS8" t="s">
        <v>3</v>
      </c>
      <c r="AT8">
        <v>133</v>
      </c>
      <c r="AU8" t="s">
        <v>3</v>
      </c>
      <c r="AV8">
        <v>1</v>
      </c>
      <c r="AW8">
        <v>2</v>
      </c>
      <c r="AX8">
        <v>40777172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U8">
        <f>ROUND(AT8*Source!I28*AH8*AL8,2)</f>
        <v>14.71</v>
      </c>
      <c r="CV8">
        <f>ROUND(Y8*Source!I28,9)</f>
        <v>1.8620000000000001</v>
      </c>
      <c r="CW8">
        <v>0</v>
      </c>
      <c r="CX8">
        <f>ROUND(Y8*Source!I28,9)</f>
        <v>1.8620000000000001</v>
      </c>
      <c r="CY8">
        <f>AD8</f>
        <v>7.9</v>
      </c>
      <c r="CZ8">
        <f>AH8</f>
        <v>7.9</v>
      </c>
      <c r="DA8">
        <f>AL8</f>
        <v>1</v>
      </c>
      <c r="DB8">
        <f t="shared" si="1"/>
        <v>1050.7</v>
      </c>
      <c r="DC8">
        <f t="shared" si="2"/>
        <v>0</v>
      </c>
      <c r="DD8" t="s">
        <v>3</v>
      </c>
      <c r="DE8" t="s">
        <v>3</v>
      </c>
      <c r="DF8">
        <f t="shared" si="3"/>
        <v>0</v>
      </c>
      <c r="DG8">
        <f t="shared" si="5"/>
        <v>0</v>
      </c>
      <c r="DH8">
        <f t="shared" si="6"/>
        <v>0</v>
      </c>
      <c r="DI8">
        <f t="shared" si="4"/>
        <v>14.71</v>
      </c>
      <c r="DJ8">
        <f>DI8</f>
        <v>14.71</v>
      </c>
      <c r="DK8">
        <v>0</v>
      </c>
      <c r="DL8" t="s">
        <v>3</v>
      </c>
      <c r="DM8">
        <v>0</v>
      </c>
      <c r="DN8" t="s">
        <v>3</v>
      </c>
      <c r="DO8">
        <v>0</v>
      </c>
    </row>
    <row r="9" spans="1:119" x14ac:dyDescent="0.2">
      <c r="A9">
        <f>ROW(Source!A28)</f>
        <v>28</v>
      </c>
      <c r="B9">
        <v>40777027</v>
      </c>
      <c r="C9">
        <v>40777167</v>
      </c>
      <c r="D9">
        <v>38620819</v>
      </c>
      <c r="E9">
        <v>1</v>
      </c>
      <c r="F9">
        <v>1</v>
      </c>
      <c r="G9">
        <v>1</v>
      </c>
      <c r="H9">
        <v>3</v>
      </c>
      <c r="I9" t="s">
        <v>333</v>
      </c>
      <c r="J9" t="s">
        <v>334</v>
      </c>
      <c r="K9" t="s">
        <v>335</v>
      </c>
      <c r="L9">
        <v>1348</v>
      </c>
      <c r="N9">
        <v>1009</v>
      </c>
      <c r="O9" t="s">
        <v>119</v>
      </c>
      <c r="P9" t="s">
        <v>119</v>
      </c>
      <c r="Q9">
        <v>1000</v>
      </c>
      <c r="W9">
        <v>0</v>
      </c>
      <c r="X9">
        <v>1351376136</v>
      </c>
      <c r="Y9">
        <f>(AT9*0)</f>
        <v>0</v>
      </c>
      <c r="AA9">
        <v>60582.37</v>
      </c>
      <c r="AB9">
        <v>0</v>
      </c>
      <c r="AC9">
        <v>0</v>
      </c>
      <c r="AD9">
        <v>0</v>
      </c>
      <c r="AE9">
        <v>4917.3999999999996</v>
      </c>
      <c r="AF9">
        <v>0</v>
      </c>
      <c r="AG9">
        <v>0</v>
      </c>
      <c r="AH9">
        <v>0</v>
      </c>
      <c r="AI9">
        <v>12.32</v>
      </c>
      <c r="AJ9">
        <v>1</v>
      </c>
      <c r="AK9">
        <v>1</v>
      </c>
      <c r="AL9">
        <v>1</v>
      </c>
      <c r="AM9">
        <v>2</v>
      </c>
      <c r="AN9">
        <v>0</v>
      </c>
      <c r="AO9">
        <v>1</v>
      </c>
      <c r="AP9">
        <v>1</v>
      </c>
      <c r="AQ9">
        <v>0</v>
      </c>
      <c r="AR9">
        <v>0</v>
      </c>
      <c r="AS9" t="s">
        <v>3</v>
      </c>
      <c r="AT9">
        <v>8.0000000000000004E-4</v>
      </c>
      <c r="AU9" t="s">
        <v>19</v>
      </c>
      <c r="AV9">
        <v>0</v>
      </c>
      <c r="AW9">
        <v>2</v>
      </c>
      <c r="AX9">
        <v>40777173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V9">
        <v>0</v>
      </c>
      <c r="CW9">
        <v>0</v>
      </c>
      <c r="CX9">
        <f>ROUND(Y9*Source!I28,9)</f>
        <v>0</v>
      </c>
      <c r="CY9">
        <f>AA9</f>
        <v>60582.37</v>
      </c>
      <c r="CZ9">
        <f>AE9</f>
        <v>4917.3999999999996</v>
      </c>
      <c r="DA9">
        <f>AI9</f>
        <v>12.32</v>
      </c>
      <c r="DB9">
        <f>ROUND((ROUND(AT9*CZ9,2)*0),2)</f>
        <v>0</v>
      </c>
      <c r="DC9">
        <f>ROUND((ROUND(AT9*AG9,2)*0),2)</f>
        <v>0</v>
      </c>
      <c r="DD9" t="s">
        <v>3</v>
      </c>
      <c r="DE9" t="s">
        <v>3</v>
      </c>
      <c r="DF9">
        <f>ROUND(ROUND(AE9*AI9,2)*CX9,2)</f>
        <v>0</v>
      </c>
      <c r="DG9">
        <f t="shared" si="5"/>
        <v>0</v>
      </c>
      <c r="DH9">
        <f t="shared" si="6"/>
        <v>0</v>
      </c>
      <c r="DI9">
        <f t="shared" si="4"/>
        <v>0</v>
      </c>
      <c r="DJ9">
        <f>DF9</f>
        <v>0</v>
      </c>
      <c r="DK9">
        <v>0</v>
      </c>
      <c r="DL9" t="s">
        <v>3</v>
      </c>
      <c r="DM9">
        <v>0</v>
      </c>
      <c r="DN9" t="s">
        <v>3</v>
      </c>
      <c r="DO9">
        <v>0</v>
      </c>
    </row>
    <row r="10" spans="1:119" x14ac:dyDescent="0.2">
      <c r="A10">
        <f>ROW(Source!A28)</f>
        <v>28</v>
      </c>
      <c r="B10">
        <v>40777027</v>
      </c>
      <c r="C10">
        <v>40777167</v>
      </c>
      <c r="D10">
        <v>38628396</v>
      </c>
      <c r="E10">
        <v>1</v>
      </c>
      <c r="F10">
        <v>1</v>
      </c>
      <c r="G10">
        <v>1</v>
      </c>
      <c r="H10">
        <v>3</v>
      </c>
      <c r="I10" t="s">
        <v>336</v>
      </c>
      <c r="J10" t="s">
        <v>337</v>
      </c>
      <c r="K10" t="s">
        <v>338</v>
      </c>
      <c r="L10">
        <v>1339</v>
      </c>
      <c r="N10">
        <v>1007</v>
      </c>
      <c r="O10" t="s">
        <v>339</v>
      </c>
      <c r="P10" t="s">
        <v>339</v>
      </c>
      <c r="Q10">
        <v>1</v>
      </c>
      <c r="W10">
        <v>0</v>
      </c>
      <c r="X10">
        <v>705501162</v>
      </c>
      <c r="Y10">
        <f>(AT10*0)</f>
        <v>0</v>
      </c>
      <c r="AA10">
        <v>6267.16</v>
      </c>
      <c r="AB10">
        <v>0</v>
      </c>
      <c r="AC10">
        <v>0</v>
      </c>
      <c r="AD10">
        <v>0</v>
      </c>
      <c r="AE10">
        <v>772.77</v>
      </c>
      <c r="AF10">
        <v>0</v>
      </c>
      <c r="AG10">
        <v>0</v>
      </c>
      <c r="AH10">
        <v>0</v>
      </c>
      <c r="AI10">
        <v>8.11</v>
      </c>
      <c r="AJ10">
        <v>1</v>
      </c>
      <c r="AK10">
        <v>1</v>
      </c>
      <c r="AL10">
        <v>1</v>
      </c>
      <c r="AM10">
        <v>2</v>
      </c>
      <c r="AN10">
        <v>0</v>
      </c>
      <c r="AO10">
        <v>1</v>
      </c>
      <c r="AP10">
        <v>1</v>
      </c>
      <c r="AQ10">
        <v>0</v>
      </c>
      <c r="AR10">
        <v>0</v>
      </c>
      <c r="AS10" t="s">
        <v>3</v>
      </c>
      <c r="AT10">
        <v>0.08</v>
      </c>
      <c r="AU10" t="s">
        <v>19</v>
      </c>
      <c r="AV10">
        <v>0</v>
      </c>
      <c r="AW10">
        <v>2</v>
      </c>
      <c r="AX10">
        <v>40777174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V10">
        <v>0</v>
      </c>
      <c r="CW10">
        <v>0</v>
      </c>
      <c r="CX10">
        <f>ROUND(Y10*Source!I28,9)</f>
        <v>0</v>
      </c>
      <c r="CY10">
        <f>AA10</f>
        <v>6267.16</v>
      </c>
      <c r="CZ10">
        <f>AE10</f>
        <v>772.77</v>
      </c>
      <c r="DA10">
        <f>AI10</f>
        <v>8.11</v>
      </c>
      <c r="DB10">
        <f>ROUND((ROUND(AT10*CZ10,2)*0),2)</f>
        <v>0</v>
      </c>
      <c r="DC10">
        <f>ROUND((ROUND(AT10*AG10,2)*0),2)</f>
        <v>0</v>
      </c>
      <c r="DD10" t="s">
        <v>3</v>
      </c>
      <c r="DE10" t="s">
        <v>3</v>
      </c>
      <c r="DF10">
        <f>ROUND(ROUND(AE10*AI10,2)*CX10,2)</f>
        <v>0</v>
      </c>
      <c r="DG10">
        <f t="shared" si="5"/>
        <v>0</v>
      </c>
      <c r="DH10">
        <f t="shared" si="6"/>
        <v>0</v>
      </c>
      <c r="DI10">
        <f t="shared" si="4"/>
        <v>0</v>
      </c>
      <c r="DJ10">
        <f>DF10</f>
        <v>0</v>
      </c>
      <c r="DK10">
        <v>0</v>
      </c>
      <c r="DL10" t="s">
        <v>3</v>
      </c>
      <c r="DM10">
        <v>0</v>
      </c>
      <c r="DN10" t="s">
        <v>3</v>
      </c>
      <c r="DO10">
        <v>0</v>
      </c>
    </row>
    <row r="11" spans="1:119" x14ac:dyDescent="0.2">
      <c r="A11">
        <f>ROW(Source!A28)</f>
        <v>28</v>
      </c>
      <c r="B11">
        <v>40777027</v>
      </c>
      <c r="C11">
        <v>40777167</v>
      </c>
      <c r="D11">
        <v>38671920</v>
      </c>
      <c r="E11">
        <v>1</v>
      </c>
      <c r="F11">
        <v>1</v>
      </c>
      <c r="G11">
        <v>1</v>
      </c>
      <c r="H11">
        <v>3</v>
      </c>
      <c r="I11" t="s">
        <v>340</v>
      </c>
      <c r="J11" t="s">
        <v>341</v>
      </c>
      <c r="K11" t="s">
        <v>342</v>
      </c>
      <c r="L11">
        <v>1301</v>
      </c>
      <c r="N11">
        <v>1003</v>
      </c>
      <c r="O11" t="s">
        <v>114</v>
      </c>
      <c r="P11" t="s">
        <v>114</v>
      </c>
      <c r="Q11">
        <v>1</v>
      </c>
      <c r="W11">
        <v>0</v>
      </c>
      <c r="X11">
        <v>989096894</v>
      </c>
      <c r="Y11">
        <f>(AT11*0)</f>
        <v>0</v>
      </c>
      <c r="AA11">
        <v>345.29</v>
      </c>
      <c r="AB11">
        <v>0</v>
      </c>
      <c r="AC11">
        <v>0</v>
      </c>
      <c r="AD11">
        <v>0</v>
      </c>
      <c r="AE11">
        <v>32.299999999999997</v>
      </c>
      <c r="AF11">
        <v>0</v>
      </c>
      <c r="AG11">
        <v>0</v>
      </c>
      <c r="AH11">
        <v>0</v>
      </c>
      <c r="AI11">
        <v>10.69</v>
      </c>
      <c r="AJ11">
        <v>1</v>
      </c>
      <c r="AK11">
        <v>1</v>
      </c>
      <c r="AL11">
        <v>1</v>
      </c>
      <c r="AM11">
        <v>2</v>
      </c>
      <c r="AN11">
        <v>0</v>
      </c>
      <c r="AO11">
        <v>1</v>
      </c>
      <c r="AP11">
        <v>1</v>
      </c>
      <c r="AQ11">
        <v>0</v>
      </c>
      <c r="AR11">
        <v>0</v>
      </c>
      <c r="AS11" t="s">
        <v>3</v>
      </c>
      <c r="AT11">
        <v>1000</v>
      </c>
      <c r="AU11" t="s">
        <v>19</v>
      </c>
      <c r="AV11">
        <v>0</v>
      </c>
      <c r="AW11">
        <v>2</v>
      </c>
      <c r="AX11">
        <v>40777175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V11">
        <v>0</v>
      </c>
      <c r="CW11">
        <v>0</v>
      </c>
      <c r="CX11">
        <f>ROUND(Y11*Source!I28,9)</f>
        <v>0</v>
      </c>
      <c r="CY11">
        <f>AA11</f>
        <v>345.29</v>
      </c>
      <c r="CZ11">
        <f>AE11</f>
        <v>32.299999999999997</v>
      </c>
      <c r="DA11">
        <f>AI11</f>
        <v>10.69</v>
      </c>
      <c r="DB11">
        <f>ROUND((ROUND(AT11*CZ11,2)*0),2)</f>
        <v>0</v>
      </c>
      <c r="DC11">
        <f>ROUND((ROUND(AT11*AG11,2)*0),2)</f>
        <v>0</v>
      </c>
      <c r="DD11" t="s">
        <v>3</v>
      </c>
      <c r="DE11" t="s">
        <v>3</v>
      </c>
      <c r="DF11">
        <f>ROUND(ROUND(AE11*AI11,2)*CX11,2)</f>
        <v>0</v>
      </c>
      <c r="DG11">
        <f t="shared" si="5"/>
        <v>0</v>
      </c>
      <c r="DH11">
        <f t="shared" si="6"/>
        <v>0</v>
      </c>
      <c r="DI11">
        <f t="shared" si="4"/>
        <v>0</v>
      </c>
      <c r="DJ11">
        <f>DF11</f>
        <v>0</v>
      </c>
      <c r="DK11">
        <v>0</v>
      </c>
      <c r="DL11" t="s">
        <v>3</v>
      </c>
      <c r="DM11">
        <v>0</v>
      </c>
      <c r="DN11" t="s">
        <v>3</v>
      </c>
      <c r="DO11">
        <v>0</v>
      </c>
    </row>
    <row r="12" spans="1:119" x14ac:dyDescent="0.2">
      <c r="A12">
        <f>ROW(Source!A29)</f>
        <v>29</v>
      </c>
      <c r="B12">
        <v>40777027</v>
      </c>
      <c r="C12">
        <v>40777176</v>
      </c>
      <c r="D12">
        <v>23351395</v>
      </c>
      <c r="E12">
        <v>1</v>
      </c>
      <c r="F12">
        <v>1</v>
      </c>
      <c r="G12">
        <v>1</v>
      </c>
      <c r="H12">
        <v>1</v>
      </c>
      <c r="I12" t="s">
        <v>343</v>
      </c>
      <c r="J12" t="s">
        <v>3</v>
      </c>
      <c r="K12" t="s">
        <v>344</v>
      </c>
      <c r="L12">
        <v>1369</v>
      </c>
      <c r="N12">
        <v>1013</v>
      </c>
      <c r="O12" t="s">
        <v>319</v>
      </c>
      <c r="P12" t="s">
        <v>319</v>
      </c>
      <c r="Q12">
        <v>1</v>
      </c>
      <c r="W12">
        <v>0</v>
      </c>
      <c r="X12">
        <v>1072260845</v>
      </c>
      <c r="Y12">
        <f>AT12</f>
        <v>0.38</v>
      </c>
      <c r="AA12">
        <v>0</v>
      </c>
      <c r="AB12">
        <v>0</v>
      </c>
      <c r="AC12">
        <v>0</v>
      </c>
      <c r="AD12">
        <v>8.99</v>
      </c>
      <c r="AE12">
        <v>0</v>
      </c>
      <c r="AF12">
        <v>0</v>
      </c>
      <c r="AG12">
        <v>0</v>
      </c>
      <c r="AH12">
        <v>8.99</v>
      </c>
      <c r="AI12">
        <v>1</v>
      </c>
      <c r="AJ12">
        <v>1</v>
      </c>
      <c r="AK12">
        <v>1</v>
      </c>
      <c r="AL12">
        <v>1</v>
      </c>
      <c r="AM12">
        <v>-2</v>
      </c>
      <c r="AN12">
        <v>0</v>
      </c>
      <c r="AO12">
        <v>1</v>
      </c>
      <c r="AP12">
        <v>1</v>
      </c>
      <c r="AQ12">
        <v>0</v>
      </c>
      <c r="AR12">
        <v>0</v>
      </c>
      <c r="AS12" t="s">
        <v>3</v>
      </c>
      <c r="AT12">
        <v>0.38</v>
      </c>
      <c r="AU12" t="s">
        <v>3</v>
      </c>
      <c r="AV12">
        <v>1</v>
      </c>
      <c r="AW12">
        <v>2</v>
      </c>
      <c r="AX12">
        <v>40777182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U12">
        <f>ROUND(AT12*Source!I29*AH12*AL12,2)</f>
        <v>81.99</v>
      </c>
      <c r="CV12">
        <f>ROUND(Y12*Source!I29,9)</f>
        <v>9.1199999999999992</v>
      </c>
      <c r="CW12">
        <v>0</v>
      </c>
      <c r="CX12">
        <f>ROUND(Y12*Source!I29,9)</f>
        <v>9.1199999999999992</v>
      </c>
      <c r="CY12">
        <f>AD12</f>
        <v>8.99</v>
      </c>
      <c r="CZ12">
        <f>AH12</f>
        <v>8.99</v>
      </c>
      <c r="DA12">
        <f>AL12</f>
        <v>1</v>
      </c>
      <c r="DB12">
        <f>ROUND(ROUND(AT12*CZ12,2),2)</f>
        <v>3.42</v>
      </c>
      <c r="DC12">
        <f>ROUND(ROUND(AT12*AG12,2),2)</f>
        <v>0</v>
      </c>
      <c r="DD12" t="s">
        <v>3</v>
      </c>
      <c r="DE12" t="s">
        <v>3</v>
      </c>
      <c r="DF12">
        <f>ROUND(ROUND(AE12,2)*CX12,2)</f>
        <v>0</v>
      </c>
      <c r="DG12">
        <f t="shared" si="5"/>
        <v>0</v>
      </c>
      <c r="DH12">
        <f t="shared" si="6"/>
        <v>0</v>
      </c>
      <c r="DI12">
        <f t="shared" si="4"/>
        <v>81.99</v>
      </c>
      <c r="DJ12">
        <f>DI12</f>
        <v>81.99</v>
      </c>
      <c r="DK12">
        <v>0</v>
      </c>
      <c r="DL12" t="s">
        <v>3</v>
      </c>
      <c r="DM12">
        <v>0</v>
      </c>
      <c r="DN12" t="s">
        <v>3</v>
      </c>
      <c r="DO12">
        <v>0</v>
      </c>
    </row>
    <row r="13" spans="1:119" x14ac:dyDescent="0.2">
      <c r="A13">
        <f>ROW(Source!A29)</f>
        <v>29</v>
      </c>
      <c r="B13">
        <v>40777027</v>
      </c>
      <c r="C13">
        <v>40777176</v>
      </c>
      <c r="D13">
        <v>38621254</v>
      </c>
      <c r="E13">
        <v>1</v>
      </c>
      <c r="F13">
        <v>1</v>
      </c>
      <c r="G13">
        <v>1</v>
      </c>
      <c r="H13">
        <v>3</v>
      </c>
      <c r="I13" t="s">
        <v>345</v>
      </c>
      <c r="J13" t="s">
        <v>346</v>
      </c>
      <c r="K13" t="s">
        <v>347</v>
      </c>
      <c r="L13">
        <v>1346</v>
      </c>
      <c r="N13">
        <v>1009</v>
      </c>
      <c r="O13" t="s">
        <v>141</v>
      </c>
      <c r="P13" t="s">
        <v>141</v>
      </c>
      <c r="Q13">
        <v>1</v>
      </c>
      <c r="W13">
        <v>0</v>
      </c>
      <c r="X13">
        <v>-1877976580</v>
      </c>
      <c r="Y13">
        <f>(AT13*0)</f>
        <v>0</v>
      </c>
      <c r="AA13">
        <v>93.2</v>
      </c>
      <c r="AB13">
        <v>0</v>
      </c>
      <c r="AC13">
        <v>0</v>
      </c>
      <c r="AD13">
        <v>0</v>
      </c>
      <c r="AE13">
        <v>9.0399999999999991</v>
      </c>
      <c r="AF13">
        <v>0</v>
      </c>
      <c r="AG13">
        <v>0</v>
      </c>
      <c r="AH13">
        <v>0</v>
      </c>
      <c r="AI13">
        <v>10.31</v>
      </c>
      <c r="AJ13">
        <v>1</v>
      </c>
      <c r="AK13">
        <v>1</v>
      </c>
      <c r="AL13">
        <v>1</v>
      </c>
      <c r="AM13">
        <v>2</v>
      </c>
      <c r="AN13">
        <v>0</v>
      </c>
      <c r="AO13">
        <v>1</v>
      </c>
      <c r="AP13">
        <v>1</v>
      </c>
      <c r="AQ13">
        <v>0</v>
      </c>
      <c r="AR13">
        <v>0</v>
      </c>
      <c r="AS13" t="s">
        <v>3</v>
      </c>
      <c r="AT13">
        <v>0.15</v>
      </c>
      <c r="AU13" t="s">
        <v>19</v>
      </c>
      <c r="AV13">
        <v>0</v>
      </c>
      <c r="AW13">
        <v>2</v>
      </c>
      <c r="AX13">
        <v>40777183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V13">
        <v>0</v>
      </c>
      <c r="CW13">
        <v>0</v>
      </c>
      <c r="CX13">
        <f>ROUND(Y13*Source!I29,9)</f>
        <v>0</v>
      </c>
      <c r="CY13">
        <f>AA13</f>
        <v>93.2</v>
      </c>
      <c r="CZ13">
        <f>AE13</f>
        <v>9.0399999999999991</v>
      </c>
      <c r="DA13">
        <f>AI13</f>
        <v>10.31</v>
      </c>
      <c r="DB13">
        <f>ROUND((ROUND(AT13*CZ13,2)*0),2)</f>
        <v>0</v>
      </c>
      <c r="DC13">
        <f>ROUND((ROUND(AT13*AG13,2)*0),2)</f>
        <v>0</v>
      </c>
      <c r="DD13" t="s">
        <v>3</v>
      </c>
      <c r="DE13" t="s">
        <v>3</v>
      </c>
      <c r="DF13">
        <f>ROUND(ROUND(AE13*AI13,2)*CX13,2)</f>
        <v>0</v>
      </c>
      <c r="DG13">
        <f t="shared" si="5"/>
        <v>0</v>
      </c>
      <c r="DH13">
        <f t="shared" si="6"/>
        <v>0</v>
      </c>
      <c r="DI13">
        <f t="shared" si="4"/>
        <v>0</v>
      </c>
      <c r="DJ13">
        <f>DF13</f>
        <v>0</v>
      </c>
      <c r="DK13">
        <v>0</v>
      </c>
      <c r="DL13" t="s">
        <v>3</v>
      </c>
      <c r="DM13">
        <v>0</v>
      </c>
      <c r="DN13" t="s">
        <v>3</v>
      </c>
      <c r="DO13">
        <v>0</v>
      </c>
    </row>
    <row r="14" spans="1:119" x14ac:dyDescent="0.2">
      <c r="A14">
        <f>ROW(Source!A29)</f>
        <v>29</v>
      </c>
      <c r="B14">
        <v>40777027</v>
      </c>
      <c r="C14">
        <v>40777176</v>
      </c>
      <c r="D14">
        <v>38684318</v>
      </c>
      <c r="E14">
        <v>1</v>
      </c>
      <c r="F14">
        <v>1</v>
      </c>
      <c r="G14">
        <v>1</v>
      </c>
      <c r="H14">
        <v>3</v>
      </c>
      <c r="I14" t="s">
        <v>348</v>
      </c>
      <c r="J14" t="s">
        <v>349</v>
      </c>
      <c r="K14" t="s">
        <v>350</v>
      </c>
      <c r="L14">
        <v>1346</v>
      </c>
      <c r="N14">
        <v>1009</v>
      </c>
      <c r="O14" t="s">
        <v>141</v>
      </c>
      <c r="P14" t="s">
        <v>141</v>
      </c>
      <c r="Q14">
        <v>1</v>
      </c>
      <c r="W14">
        <v>0</v>
      </c>
      <c r="X14">
        <v>-1685396289</v>
      </c>
      <c r="Y14">
        <f>(AT14*0)</f>
        <v>0</v>
      </c>
      <c r="AA14">
        <v>100.62</v>
      </c>
      <c r="AB14">
        <v>0</v>
      </c>
      <c r="AC14">
        <v>0</v>
      </c>
      <c r="AD14">
        <v>0</v>
      </c>
      <c r="AE14">
        <v>16.940000000000001</v>
      </c>
      <c r="AF14">
        <v>0</v>
      </c>
      <c r="AG14">
        <v>0</v>
      </c>
      <c r="AH14">
        <v>0</v>
      </c>
      <c r="AI14">
        <v>5.94</v>
      </c>
      <c r="AJ14">
        <v>1</v>
      </c>
      <c r="AK14">
        <v>1</v>
      </c>
      <c r="AL14">
        <v>1</v>
      </c>
      <c r="AM14">
        <v>2</v>
      </c>
      <c r="AN14">
        <v>0</v>
      </c>
      <c r="AO14">
        <v>1</v>
      </c>
      <c r="AP14">
        <v>1</v>
      </c>
      <c r="AQ14">
        <v>0</v>
      </c>
      <c r="AR14">
        <v>0</v>
      </c>
      <c r="AS14" t="s">
        <v>3</v>
      </c>
      <c r="AT14">
        <v>0.72</v>
      </c>
      <c r="AU14" t="s">
        <v>19</v>
      </c>
      <c r="AV14">
        <v>0</v>
      </c>
      <c r="AW14">
        <v>2</v>
      </c>
      <c r="AX14">
        <v>40777184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V14">
        <v>0</v>
      </c>
      <c r="CW14">
        <v>0</v>
      </c>
      <c r="CX14">
        <f>ROUND(Y14*Source!I29,9)</f>
        <v>0</v>
      </c>
      <c r="CY14">
        <f>AA14</f>
        <v>100.62</v>
      </c>
      <c r="CZ14">
        <f>AE14</f>
        <v>16.940000000000001</v>
      </c>
      <c r="DA14">
        <f>AI14</f>
        <v>5.94</v>
      </c>
      <c r="DB14">
        <f>ROUND((ROUND(AT14*CZ14,2)*0),2)</f>
        <v>0</v>
      </c>
      <c r="DC14">
        <f>ROUND((ROUND(AT14*AG14,2)*0),2)</f>
        <v>0</v>
      </c>
      <c r="DD14" t="s">
        <v>3</v>
      </c>
      <c r="DE14" t="s">
        <v>3</v>
      </c>
      <c r="DF14">
        <f>ROUND(ROUND(AE14*AI14,2)*CX14,2)</f>
        <v>0</v>
      </c>
      <c r="DG14">
        <f t="shared" si="5"/>
        <v>0</v>
      </c>
      <c r="DH14">
        <f t="shared" si="6"/>
        <v>0</v>
      </c>
      <c r="DI14">
        <f t="shared" si="4"/>
        <v>0</v>
      </c>
      <c r="DJ14">
        <f>DF14</f>
        <v>0</v>
      </c>
      <c r="DK14">
        <v>0</v>
      </c>
      <c r="DL14" t="s">
        <v>3</v>
      </c>
      <c r="DM14">
        <v>0</v>
      </c>
      <c r="DN14" t="s">
        <v>3</v>
      </c>
      <c r="DO14">
        <v>0</v>
      </c>
    </row>
    <row r="15" spans="1:119" x14ac:dyDescent="0.2">
      <c r="A15">
        <f>ROW(Source!A29)</f>
        <v>29</v>
      </c>
      <c r="B15">
        <v>40777027</v>
      </c>
      <c r="C15">
        <v>40777176</v>
      </c>
      <c r="D15">
        <v>38684434</v>
      </c>
      <c r="E15">
        <v>1</v>
      </c>
      <c r="F15">
        <v>1</v>
      </c>
      <c r="G15">
        <v>1</v>
      </c>
      <c r="H15">
        <v>3</v>
      </c>
      <c r="I15" t="s">
        <v>351</v>
      </c>
      <c r="J15" t="s">
        <v>352</v>
      </c>
      <c r="K15" t="s">
        <v>353</v>
      </c>
      <c r="L15">
        <v>1348</v>
      </c>
      <c r="N15">
        <v>1009</v>
      </c>
      <c r="O15" t="s">
        <v>119</v>
      </c>
      <c r="P15" t="s">
        <v>119</v>
      </c>
      <c r="Q15">
        <v>1000</v>
      </c>
      <c r="W15">
        <v>0</v>
      </c>
      <c r="X15">
        <v>1829992141</v>
      </c>
      <c r="Y15">
        <f>(AT15*0)</f>
        <v>0</v>
      </c>
      <c r="AA15">
        <v>428641.1</v>
      </c>
      <c r="AB15">
        <v>0</v>
      </c>
      <c r="AC15">
        <v>0</v>
      </c>
      <c r="AD15">
        <v>0</v>
      </c>
      <c r="AE15">
        <v>27354.25</v>
      </c>
      <c r="AF15">
        <v>0</v>
      </c>
      <c r="AG15">
        <v>0</v>
      </c>
      <c r="AH15">
        <v>0</v>
      </c>
      <c r="AI15">
        <v>15.67</v>
      </c>
      <c r="AJ15">
        <v>1</v>
      </c>
      <c r="AK15">
        <v>1</v>
      </c>
      <c r="AL15">
        <v>1</v>
      </c>
      <c r="AM15">
        <v>2</v>
      </c>
      <c r="AN15">
        <v>0</v>
      </c>
      <c r="AO15">
        <v>1</v>
      </c>
      <c r="AP15">
        <v>1</v>
      </c>
      <c r="AQ15">
        <v>0</v>
      </c>
      <c r="AR15">
        <v>0</v>
      </c>
      <c r="AS15" t="s">
        <v>3</v>
      </c>
      <c r="AT15">
        <v>6.0000000000000002E-5</v>
      </c>
      <c r="AU15" t="s">
        <v>19</v>
      </c>
      <c r="AV15">
        <v>0</v>
      </c>
      <c r="AW15">
        <v>2</v>
      </c>
      <c r="AX15">
        <v>40777185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V15">
        <v>0</v>
      </c>
      <c r="CW15">
        <v>0</v>
      </c>
      <c r="CX15">
        <f>ROUND(Y15*Source!I29,9)</f>
        <v>0</v>
      </c>
      <c r="CY15">
        <f>AA15</f>
        <v>428641.1</v>
      </c>
      <c r="CZ15">
        <f>AE15</f>
        <v>27354.25</v>
      </c>
      <c r="DA15">
        <f>AI15</f>
        <v>15.67</v>
      </c>
      <c r="DB15">
        <f>ROUND((ROUND(AT15*CZ15,2)*0),2)</f>
        <v>0</v>
      </c>
      <c r="DC15">
        <f>ROUND((ROUND(AT15*AG15,2)*0),2)</f>
        <v>0</v>
      </c>
      <c r="DD15" t="s">
        <v>3</v>
      </c>
      <c r="DE15" t="s">
        <v>3</v>
      </c>
      <c r="DF15">
        <f>ROUND(ROUND(AE15*AI15,2)*CX15,2)</f>
        <v>0</v>
      </c>
      <c r="DG15">
        <f t="shared" si="5"/>
        <v>0</v>
      </c>
      <c r="DH15">
        <f t="shared" si="6"/>
        <v>0</v>
      </c>
      <c r="DI15">
        <f t="shared" si="4"/>
        <v>0</v>
      </c>
      <c r="DJ15">
        <f>DF15</f>
        <v>0</v>
      </c>
      <c r="DK15">
        <v>0</v>
      </c>
      <c r="DL15" t="s">
        <v>3</v>
      </c>
      <c r="DM15">
        <v>0</v>
      </c>
      <c r="DN15" t="s">
        <v>3</v>
      </c>
      <c r="DO15">
        <v>0</v>
      </c>
    </row>
    <row r="16" spans="1:119" x14ac:dyDescent="0.2">
      <c r="A16">
        <f>ROW(Source!A29)</f>
        <v>29</v>
      </c>
      <c r="B16">
        <v>40777027</v>
      </c>
      <c r="C16">
        <v>40777176</v>
      </c>
      <c r="D16">
        <v>38684560</v>
      </c>
      <c r="E16">
        <v>1</v>
      </c>
      <c r="F16">
        <v>1</v>
      </c>
      <c r="G16">
        <v>1</v>
      </c>
      <c r="H16">
        <v>3</v>
      </c>
      <c r="I16" t="s">
        <v>354</v>
      </c>
      <c r="J16" t="s">
        <v>355</v>
      </c>
      <c r="K16" t="s">
        <v>356</v>
      </c>
      <c r="L16">
        <v>1374</v>
      </c>
      <c r="N16">
        <v>1013</v>
      </c>
      <c r="O16" t="s">
        <v>357</v>
      </c>
      <c r="P16" t="s">
        <v>357</v>
      </c>
      <c r="Q16">
        <v>1</v>
      </c>
      <c r="W16">
        <v>0</v>
      </c>
      <c r="X16">
        <v>2131831278</v>
      </c>
      <c r="Y16">
        <f>(AT16*0)</f>
        <v>0</v>
      </c>
      <c r="AA16">
        <v>1</v>
      </c>
      <c r="AB16">
        <v>0</v>
      </c>
      <c r="AC16">
        <v>0</v>
      </c>
      <c r="AD16">
        <v>0</v>
      </c>
      <c r="AE16">
        <v>1</v>
      </c>
      <c r="AF16">
        <v>0</v>
      </c>
      <c r="AG16">
        <v>0</v>
      </c>
      <c r="AH16">
        <v>0</v>
      </c>
      <c r="AI16">
        <v>1</v>
      </c>
      <c r="AJ16">
        <v>1</v>
      </c>
      <c r="AK16">
        <v>1</v>
      </c>
      <c r="AL16">
        <v>1</v>
      </c>
      <c r="AM16">
        <v>-2</v>
      </c>
      <c r="AN16">
        <v>0</v>
      </c>
      <c r="AO16">
        <v>1</v>
      </c>
      <c r="AP16">
        <v>1</v>
      </c>
      <c r="AQ16">
        <v>0</v>
      </c>
      <c r="AR16">
        <v>0</v>
      </c>
      <c r="AS16" t="s">
        <v>3</v>
      </c>
      <c r="AT16">
        <v>7.0000000000000007E-2</v>
      </c>
      <c r="AU16" t="s">
        <v>19</v>
      </c>
      <c r="AV16">
        <v>0</v>
      </c>
      <c r="AW16">
        <v>2</v>
      </c>
      <c r="AX16">
        <v>40777186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V16">
        <v>0</v>
      </c>
      <c r="CW16">
        <v>0</v>
      </c>
      <c r="CX16">
        <f>ROUND(Y16*Source!I29,9)</f>
        <v>0</v>
      </c>
      <c r="CY16">
        <f>AA16</f>
        <v>1</v>
      </c>
      <c r="CZ16">
        <f>AE16</f>
        <v>1</v>
      </c>
      <c r="DA16">
        <f>AI16</f>
        <v>1</v>
      </c>
      <c r="DB16">
        <f>ROUND((ROUND(AT16*CZ16,2)*0),2)</f>
        <v>0</v>
      </c>
      <c r="DC16">
        <f>ROUND((ROUND(AT16*AG16,2)*0),2)</f>
        <v>0</v>
      </c>
      <c r="DD16" t="s">
        <v>3</v>
      </c>
      <c r="DE16" t="s">
        <v>3</v>
      </c>
      <c r="DF16">
        <f t="shared" ref="DF16:DF22" si="7">ROUND(ROUND(AE16,2)*CX16,2)</f>
        <v>0</v>
      </c>
      <c r="DG16">
        <f t="shared" si="5"/>
        <v>0</v>
      </c>
      <c r="DH16">
        <f t="shared" si="6"/>
        <v>0</v>
      </c>
      <c r="DI16">
        <f t="shared" si="4"/>
        <v>0</v>
      </c>
      <c r="DJ16">
        <f>DF16</f>
        <v>0</v>
      </c>
      <c r="DK16">
        <v>0</v>
      </c>
      <c r="DL16" t="s">
        <v>3</v>
      </c>
      <c r="DM16">
        <v>0</v>
      </c>
      <c r="DN16" t="s">
        <v>3</v>
      </c>
      <c r="DO16">
        <v>0</v>
      </c>
    </row>
    <row r="17" spans="1:119" x14ac:dyDescent="0.2">
      <c r="A17">
        <f>ROW(Source!A30)</f>
        <v>30</v>
      </c>
      <c r="B17">
        <v>40777027</v>
      </c>
      <c r="C17">
        <v>40777187</v>
      </c>
      <c r="D17">
        <v>23351395</v>
      </c>
      <c r="E17">
        <v>1</v>
      </c>
      <c r="F17">
        <v>1</v>
      </c>
      <c r="G17">
        <v>1</v>
      </c>
      <c r="H17">
        <v>1</v>
      </c>
      <c r="I17" t="s">
        <v>343</v>
      </c>
      <c r="J17" t="s">
        <v>3</v>
      </c>
      <c r="K17" t="s">
        <v>344</v>
      </c>
      <c r="L17">
        <v>1369</v>
      </c>
      <c r="N17">
        <v>1013</v>
      </c>
      <c r="O17" t="s">
        <v>319</v>
      </c>
      <c r="P17" t="s">
        <v>319</v>
      </c>
      <c r="Q17">
        <v>1</v>
      </c>
      <c r="W17">
        <v>0</v>
      </c>
      <c r="X17">
        <v>1072260845</v>
      </c>
      <c r="Y17">
        <f t="shared" ref="Y17:Y22" si="8">AT17</f>
        <v>23.04</v>
      </c>
      <c r="AA17">
        <v>0</v>
      </c>
      <c r="AB17">
        <v>0</v>
      </c>
      <c r="AC17">
        <v>0</v>
      </c>
      <c r="AD17">
        <v>8.99</v>
      </c>
      <c r="AE17">
        <v>0</v>
      </c>
      <c r="AF17">
        <v>0</v>
      </c>
      <c r="AG17">
        <v>0</v>
      </c>
      <c r="AH17">
        <v>8.99</v>
      </c>
      <c r="AI17">
        <v>1</v>
      </c>
      <c r="AJ17">
        <v>1</v>
      </c>
      <c r="AK17">
        <v>1</v>
      </c>
      <c r="AL17">
        <v>1</v>
      </c>
      <c r="AM17">
        <v>-2</v>
      </c>
      <c r="AN17">
        <v>0</v>
      </c>
      <c r="AO17">
        <v>1</v>
      </c>
      <c r="AP17">
        <v>1</v>
      </c>
      <c r="AQ17">
        <v>0</v>
      </c>
      <c r="AR17">
        <v>0</v>
      </c>
      <c r="AS17" t="s">
        <v>3</v>
      </c>
      <c r="AT17">
        <v>23.04</v>
      </c>
      <c r="AU17" t="s">
        <v>3</v>
      </c>
      <c r="AV17">
        <v>1</v>
      </c>
      <c r="AW17">
        <v>2</v>
      </c>
      <c r="AX17">
        <v>40777198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U17">
        <f>ROUND(AT17*Source!I30*AH17*AL17,2)</f>
        <v>202.99</v>
      </c>
      <c r="CV17">
        <f>ROUND(Y17*Source!I30,9)</f>
        <v>22.5792</v>
      </c>
      <c r="CW17">
        <v>0</v>
      </c>
      <c r="CX17">
        <f>ROUND(Y17*Source!I30,9)</f>
        <v>22.5792</v>
      </c>
      <c r="CY17">
        <f>AD17</f>
        <v>8.99</v>
      </c>
      <c r="CZ17">
        <f>AH17</f>
        <v>8.99</v>
      </c>
      <c r="DA17">
        <f>AL17</f>
        <v>1</v>
      </c>
      <c r="DB17">
        <f t="shared" ref="DB17:DB22" si="9">ROUND(ROUND(AT17*CZ17,2),2)</f>
        <v>207.13</v>
      </c>
      <c r="DC17">
        <f t="shared" ref="DC17:DC22" si="10">ROUND(ROUND(AT17*AG17,2),2)</f>
        <v>0</v>
      </c>
      <c r="DD17" t="s">
        <v>3</v>
      </c>
      <c r="DE17" t="s">
        <v>3</v>
      </c>
      <c r="DF17">
        <f t="shared" si="7"/>
        <v>0</v>
      </c>
      <c r="DG17">
        <f t="shared" si="5"/>
        <v>0</v>
      </c>
      <c r="DH17">
        <f t="shared" si="6"/>
        <v>0</v>
      </c>
      <c r="DI17">
        <f t="shared" si="4"/>
        <v>202.99</v>
      </c>
      <c r="DJ17">
        <f>DI17</f>
        <v>202.99</v>
      </c>
      <c r="DK17">
        <v>0</v>
      </c>
      <c r="DL17" t="s">
        <v>3</v>
      </c>
      <c r="DM17">
        <v>0</v>
      </c>
      <c r="DN17" t="s">
        <v>3</v>
      </c>
      <c r="DO17">
        <v>0</v>
      </c>
    </row>
    <row r="18" spans="1:119" x14ac:dyDescent="0.2">
      <c r="A18">
        <f>ROW(Source!A30)</f>
        <v>30</v>
      </c>
      <c r="B18">
        <v>40777027</v>
      </c>
      <c r="C18">
        <v>40777187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26</v>
      </c>
      <c r="J18" t="s">
        <v>3</v>
      </c>
      <c r="K18" t="s">
        <v>320</v>
      </c>
      <c r="L18">
        <v>608254</v>
      </c>
      <c r="N18">
        <v>1013</v>
      </c>
      <c r="O18" t="s">
        <v>321</v>
      </c>
      <c r="P18" t="s">
        <v>321</v>
      </c>
      <c r="Q18">
        <v>1</v>
      </c>
      <c r="W18">
        <v>0</v>
      </c>
      <c r="X18">
        <v>-185737400</v>
      </c>
      <c r="Y18">
        <f t="shared" si="8"/>
        <v>0.2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1</v>
      </c>
      <c r="AJ18">
        <v>1</v>
      </c>
      <c r="AK18">
        <v>1</v>
      </c>
      <c r="AL18">
        <v>1</v>
      </c>
      <c r="AM18">
        <v>-2</v>
      </c>
      <c r="AN18">
        <v>0</v>
      </c>
      <c r="AO18">
        <v>1</v>
      </c>
      <c r="AP18">
        <v>1</v>
      </c>
      <c r="AQ18">
        <v>0</v>
      </c>
      <c r="AR18">
        <v>0</v>
      </c>
      <c r="AS18" t="s">
        <v>3</v>
      </c>
      <c r="AT18">
        <v>0.2</v>
      </c>
      <c r="AU18" t="s">
        <v>3</v>
      </c>
      <c r="AV18">
        <v>2</v>
      </c>
      <c r="AW18">
        <v>2</v>
      </c>
      <c r="AX18">
        <v>40777199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V18">
        <v>0</v>
      </c>
      <c r="CW18">
        <v>0</v>
      </c>
      <c r="CX18">
        <f>ROUND(Y18*Source!I30,9)</f>
        <v>0.19600000000000001</v>
      </c>
      <c r="CY18">
        <f>AD18</f>
        <v>0</v>
      </c>
      <c r="CZ18">
        <f>AH18</f>
        <v>0</v>
      </c>
      <c r="DA18">
        <f>AL18</f>
        <v>1</v>
      </c>
      <c r="DB18">
        <f t="shared" si="9"/>
        <v>0</v>
      </c>
      <c r="DC18">
        <f t="shared" si="10"/>
        <v>0</v>
      </c>
      <c r="DD18" t="s">
        <v>3</v>
      </c>
      <c r="DE18" t="s">
        <v>3</v>
      </c>
      <c r="DF18">
        <f t="shared" si="7"/>
        <v>0</v>
      </c>
      <c r="DG18">
        <f t="shared" si="5"/>
        <v>0</v>
      </c>
      <c r="DH18">
        <f t="shared" si="6"/>
        <v>0</v>
      </c>
      <c r="DI18">
        <f t="shared" si="4"/>
        <v>0</v>
      </c>
      <c r="DJ18">
        <f>DI18</f>
        <v>0</v>
      </c>
      <c r="DK18">
        <v>0</v>
      </c>
      <c r="DL18" t="s">
        <v>3</v>
      </c>
      <c r="DM18">
        <v>0</v>
      </c>
      <c r="DN18" t="s">
        <v>3</v>
      </c>
      <c r="DO18">
        <v>0</v>
      </c>
    </row>
    <row r="19" spans="1:119" x14ac:dyDescent="0.2">
      <c r="A19">
        <f>ROW(Source!A30)</f>
        <v>30</v>
      </c>
      <c r="B19">
        <v>40777027</v>
      </c>
      <c r="C19">
        <v>40777187</v>
      </c>
      <c r="D19">
        <v>38685072</v>
      </c>
      <c r="E19">
        <v>1</v>
      </c>
      <c r="F19">
        <v>1</v>
      </c>
      <c r="G19">
        <v>1</v>
      </c>
      <c r="H19">
        <v>2</v>
      </c>
      <c r="I19" t="s">
        <v>358</v>
      </c>
      <c r="J19" t="s">
        <v>359</v>
      </c>
      <c r="K19" t="s">
        <v>360</v>
      </c>
      <c r="L19">
        <v>1368</v>
      </c>
      <c r="N19">
        <v>1011</v>
      </c>
      <c r="O19" t="s">
        <v>325</v>
      </c>
      <c r="P19" t="s">
        <v>325</v>
      </c>
      <c r="Q19">
        <v>1</v>
      </c>
      <c r="W19">
        <v>0</v>
      </c>
      <c r="X19">
        <v>-1424728221</v>
      </c>
      <c r="Y19">
        <f t="shared" si="8"/>
        <v>0.2</v>
      </c>
      <c r="AA19">
        <v>0</v>
      </c>
      <c r="AB19">
        <v>1442.2</v>
      </c>
      <c r="AC19">
        <v>393.37</v>
      </c>
      <c r="AD19">
        <v>0</v>
      </c>
      <c r="AE19">
        <v>0</v>
      </c>
      <c r="AF19">
        <v>138.54</v>
      </c>
      <c r="AG19">
        <v>12.1</v>
      </c>
      <c r="AH19">
        <v>0</v>
      </c>
      <c r="AI19">
        <v>1</v>
      </c>
      <c r="AJ19">
        <v>10.41</v>
      </c>
      <c r="AK19">
        <v>32.51</v>
      </c>
      <c r="AL19">
        <v>1</v>
      </c>
      <c r="AM19">
        <v>2</v>
      </c>
      <c r="AN19">
        <v>0</v>
      </c>
      <c r="AO19">
        <v>1</v>
      </c>
      <c r="AP19">
        <v>1</v>
      </c>
      <c r="AQ19">
        <v>0</v>
      </c>
      <c r="AR19">
        <v>0</v>
      </c>
      <c r="AS19" t="s">
        <v>3</v>
      </c>
      <c r="AT19">
        <v>0.2</v>
      </c>
      <c r="AU19" t="s">
        <v>3</v>
      </c>
      <c r="AV19">
        <v>0</v>
      </c>
      <c r="AW19">
        <v>2</v>
      </c>
      <c r="AX19">
        <v>40777200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V19">
        <v>0</v>
      </c>
      <c r="CW19">
        <f>ROUND(Y19*Source!I30,9)</f>
        <v>0.19600000000000001</v>
      </c>
      <c r="CX19">
        <f>ROUND(Y19*Source!I30,9)</f>
        <v>0.19600000000000001</v>
      </c>
      <c r="CY19">
        <f>AB19</f>
        <v>1442.2</v>
      </c>
      <c r="CZ19">
        <f>AF19</f>
        <v>138.54</v>
      </c>
      <c r="DA19">
        <f>AJ19</f>
        <v>10.41</v>
      </c>
      <c r="DB19">
        <f t="shared" si="9"/>
        <v>27.71</v>
      </c>
      <c r="DC19">
        <f t="shared" si="10"/>
        <v>2.42</v>
      </c>
      <c r="DD19" t="s">
        <v>3</v>
      </c>
      <c r="DE19" t="s">
        <v>3</v>
      </c>
      <c r="DF19">
        <f t="shared" si="7"/>
        <v>0</v>
      </c>
      <c r="DG19">
        <f>ROUND(ROUND(AF19*AJ19,2)*CX19,2)</f>
        <v>282.67</v>
      </c>
      <c r="DH19">
        <f>ROUND(ROUND(AG19*AK19,2)*CX19,2)</f>
        <v>77.099999999999994</v>
      </c>
      <c r="DI19">
        <f t="shared" si="4"/>
        <v>0</v>
      </c>
      <c r="DJ19">
        <f>DG19</f>
        <v>282.67</v>
      </c>
      <c r="DK19">
        <v>0</v>
      </c>
      <c r="DL19" t="s">
        <v>3</v>
      </c>
      <c r="DM19">
        <v>0</v>
      </c>
      <c r="DN19" t="s">
        <v>3</v>
      </c>
      <c r="DO19">
        <v>0</v>
      </c>
    </row>
    <row r="20" spans="1:119" x14ac:dyDescent="0.2">
      <c r="A20">
        <f>ROW(Source!A30)</f>
        <v>30</v>
      </c>
      <c r="B20">
        <v>40777027</v>
      </c>
      <c r="C20">
        <v>40777187</v>
      </c>
      <c r="D20">
        <v>38685168</v>
      </c>
      <c r="E20">
        <v>1</v>
      </c>
      <c r="F20">
        <v>1</v>
      </c>
      <c r="G20">
        <v>1</v>
      </c>
      <c r="H20">
        <v>2</v>
      </c>
      <c r="I20" t="s">
        <v>361</v>
      </c>
      <c r="J20" t="s">
        <v>362</v>
      </c>
      <c r="K20" t="s">
        <v>363</v>
      </c>
      <c r="L20">
        <v>1368</v>
      </c>
      <c r="N20">
        <v>1011</v>
      </c>
      <c r="O20" t="s">
        <v>325</v>
      </c>
      <c r="P20" t="s">
        <v>325</v>
      </c>
      <c r="Q20">
        <v>1</v>
      </c>
      <c r="W20">
        <v>0</v>
      </c>
      <c r="X20">
        <v>11972859</v>
      </c>
      <c r="Y20">
        <f t="shared" si="8"/>
        <v>5.14</v>
      </c>
      <c r="AA20">
        <v>0</v>
      </c>
      <c r="AB20">
        <v>8.07</v>
      </c>
      <c r="AC20">
        <v>0</v>
      </c>
      <c r="AD20">
        <v>0</v>
      </c>
      <c r="AE20">
        <v>0</v>
      </c>
      <c r="AF20">
        <v>1.52</v>
      </c>
      <c r="AG20">
        <v>0</v>
      </c>
      <c r="AH20">
        <v>0</v>
      </c>
      <c r="AI20">
        <v>1</v>
      </c>
      <c r="AJ20">
        <v>5.31</v>
      </c>
      <c r="AK20">
        <v>32.51</v>
      </c>
      <c r="AL20">
        <v>1</v>
      </c>
      <c r="AM20">
        <v>2</v>
      </c>
      <c r="AN20">
        <v>0</v>
      </c>
      <c r="AO20">
        <v>1</v>
      </c>
      <c r="AP20">
        <v>1</v>
      </c>
      <c r="AQ20">
        <v>0</v>
      </c>
      <c r="AR20">
        <v>0</v>
      </c>
      <c r="AS20" t="s">
        <v>3</v>
      </c>
      <c r="AT20">
        <v>5.14</v>
      </c>
      <c r="AU20" t="s">
        <v>3</v>
      </c>
      <c r="AV20">
        <v>0</v>
      </c>
      <c r="AW20">
        <v>2</v>
      </c>
      <c r="AX20">
        <v>40777201</v>
      </c>
      <c r="AY20">
        <v>1</v>
      </c>
      <c r="AZ20">
        <v>0</v>
      </c>
      <c r="BA20">
        <v>20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V20">
        <v>0</v>
      </c>
      <c r="CW20">
        <f>ROUND(Y20*Source!I30,9)</f>
        <v>5.0372000000000003</v>
      </c>
      <c r="CX20">
        <f>ROUND(Y20*Source!I30,9)</f>
        <v>5.0372000000000003</v>
      </c>
      <c r="CY20">
        <f>AB20</f>
        <v>8.07</v>
      </c>
      <c r="CZ20">
        <f>AF20</f>
        <v>1.52</v>
      </c>
      <c r="DA20">
        <f>AJ20</f>
        <v>5.31</v>
      </c>
      <c r="DB20">
        <f t="shared" si="9"/>
        <v>7.81</v>
      </c>
      <c r="DC20">
        <f t="shared" si="10"/>
        <v>0</v>
      </c>
      <c r="DD20" t="s">
        <v>3</v>
      </c>
      <c r="DE20" t="s">
        <v>3</v>
      </c>
      <c r="DF20">
        <f t="shared" si="7"/>
        <v>0</v>
      </c>
      <c r="DG20">
        <f>ROUND(ROUND(AF20*AJ20,2)*CX20,2)</f>
        <v>40.65</v>
      </c>
      <c r="DH20">
        <f>ROUND(ROUND(AG20*AK20,2)*CX20,2)</f>
        <v>0</v>
      </c>
      <c r="DI20">
        <f t="shared" si="4"/>
        <v>0</v>
      </c>
      <c r="DJ20">
        <f>DG20</f>
        <v>40.65</v>
      </c>
      <c r="DK20">
        <v>0</v>
      </c>
      <c r="DL20" t="s">
        <v>3</v>
      </c>
      <c r="DM20">
        <v>0</v>
      </c>
      <c r="DN20" t="s">
        <v>3</v>
      </c>
      <c r="DO20">
        <v>0</v>
      </c>
    </row>
    <row r="21" spans="1:119" x14ac:dyDescent="0.2">
      <c r="A21">
        <f>ROW(Source!A30)</f>
        <v>30</v>
      </c>
      <c r="B21">
        <v>40777027</v>
      </c>
      <c r="C21">
        <v>40777187</v>
      </c>
      <c r="D21">
        <v>38685182</v>
      </c>
      <c r="E21">
        <v>1</v>
      </c>
      <c r="F21">
        <v>1</v>
      </c>
      <c r="G21">
        <v>1</v>
      </c>
      <c r="H21">
        <v>2</v>
      </c>
      <c r="I21" t="s">
        <v>364</v>
      </c>
      <c r="J21" t="s">
        <v>365</v>
      </c>
      <c r="K21" t="s">
        <v>366</v>
      </c>
      <c r="L21">
        <v>1368</v>
      </c>
      <c r="N21">
        <v>1011</v>
      </c>
      <c r="O21" t="s">
        <v>325</v>
      </c>
      <c r="P21" t="s">
        <v>325</v>
      </c>
      <c r="Q21">
        <v>1</v>
      </c>
      <c r="W21">
        <v>0</v>
      </c>
      <c r="X21">
        <v>-892985829</v>
      </c>
      <c r="Y21">
        <f t="shared" si="8"/>
        <v>5.14</v>
      </c>
      <c r="AA21">
        <v>0</v>
      </c>
      <c r="AB21">
        <v>37.47</v>
      </c>
      <c r="AC21">
        <v>0</v>
      </c>
      <c r="AD21">
        <v>0</v>
      </c>
      <c r="AE21">
        <v>0</v>
      </c>
      <c r="AF21">
        <v>7.11</v>
      </c>
      <c r="AG21">
        <v>0</v>
      </c>
      <c r="AH21">
        <v>0</v>
      </c>
      <c r="AI21">
        <v>1</v>
      </c>
      <c r="AJ21">
        <v>5.27</v>
      </c>
      <c r="AK21">
        <v>32.51</v>
      </c>
      <c r="AL21">
        <v>1</v>
      </c>
      <c r="AM21">
        <v>2</v>
      </c>
      <c r="AN21">
        <v>0</v>
      </c>
      <c r="AO21">
        <v>1</v>
      </c>
      <c r="AP21">
        <v>1</v>
      </c>
      <c r="AQ21">
        <v>0</v>
      </c>
      <c r="AR21">
        <v>0</v>
      </c>
      <c r="AS21" t="s">
        <v>3</v>
      </c>
      <c r="AT21">
        <v>5.14</v>
      </c>
      <c r="AU21" t="s">
        <v>3</v>
      </c>
      <c r="AV21">
        <v>0</v>
      </c>
      <c r="AW21">
        <v>2</v>
      </c>
      <c r="AX21">
        <v>40777202</v>
      </c>
      <c r="AY21">
        <v>1</v>
      </c>
      <c r="AZ21">
        <v>0</v>
      </c>
      <c r="BA21">
        <v>21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V21">
        <v>0</v>
      </c>
      <c r="CW21">
        <f>ROUND(Y21*Source!I30,9)</f>
        <v>5.0372000000000003</v>
      </c>
      <c r="CX21">
        <f>ROUND(Y21*Source!I30,9)</f>
        <v>5.0372000000000003</v>
      </c>
      <c r="CY21">
        <f>AB21</f>
        <v>37.47</v>
      </c>
      <c r="CZ21">
        <f>AF21</f>
        <v>7.11</v>
      </c>
      <c r="DA21">
        <f>AJ21</f>
        <v>5.27</v>
      </c>
      <c r="DB21">
        <f t="shared" si="9"/>
        <v>36.549999999999997</v>
      </c>
      <c r="DC21">
        <f t="shared" si="10"/>
        <v>0</v>
      </c>
      <c r="DD21" t="s">
        <v>3</v>
      </c>
      <c r="DE21" t="s">
        <v>3</v>
      </c>
      <c r="DF21">
        <f t="shared" si="7"/>
        <v>0</v>
      </c>
      <c r="DG21">
        <f>ROUND(ROUND(AF21*AJ21,2)*CX21,2)</f>
        <v>188.74</v>
      </c>
      <c r="DH21">
        <f>ROUND(ROUND(AG21*AK21,2)*CX21,2)</f>
        <v>0</v>
      </c>
      <c r="DI21">
        <f t="shared" si="4"/>
        <v>0</v>
      </c>
      <c r="DJ21">
        <f>DG21</f>
        <v>188.74</v>
      </c>
      <c r="DK21">
        <v>0</v>
      </c>
      <c r="DL21" t="s">
        <v>3</v>
      </c>
      <c r="DM21">
        <v>0</v>
      </c>
      <c r="DN21" t="s">
        <v>3</v>
      </c>
      <c r="DO21">
        <v>0</v>
      </c>
    </row>
    <row r="22" spans="1:119" x14ac:dyDescent="0.2">
      <c r="A22">
        <f>ROW(Source!A30)</f>
        <v>30</v>
      </c>
      <c r="B22">
        <v>40777027</v>
      </c>
      <c r="C22">
        <v>40777187</v>
      </c>
      <c r="D22">
        <v>38686926</v>
      </c>
      <c r="E22">
        <v>1</v>
      </c>
      <c r="F22">
        <v>1</v>
      </c>
      <c r="G22">
        <v>1</v>
      </c>
      <c r="H22">
        <v>2</v>
      </c>
      <c r="I22" t="s">
        <v>367</v>
      </c>
      <c r="J22" t="s">
        <v>368</v>
      </c>
      <c r="K22" t="s">
        <v>369</v>
      </c>
      <c r="L22">
        <v>1368</v>
      </c>
      <c r="N22">
        <v>1011</v>
      </c>
      <c r="O22" t="s">
        <v>325</v>
      </c>
      <c r="P22" t="s">
        <v>325</v>
      </c>
      <c r="Q22">
        <v>1</v>
      </c>
      <c r="W22">
        <v>0</v>
      </c>
      <c r="X22">
        <v>-671646184</v>
      </c>
      <c r="Y22">
        <f t="shared" si="8"/>
        <v>0.2</v>
      </c>
      <c r="AA22">
        <v>0</v>
      </c>
      <c r="AB22">
        <v>1271.79</v>
      </c>
      <c r="AC22">
        <v>336.48</v>
      </c>
      <c r="AD22">
        <v>0</v>
      </c>
      <c r="AE22">
        <v>0</v>
      </c>
      <c r="AF22">
        <v>91.76</v>
      </c>
      <c r="AG22">
        <v>10.35</v>
      </c>
      <c r="AH22">
        <v>0</v>
      </c>
      <c r="AI22">
        <v>1</v>
      </c>
      <c r="AJ22">
        <v>13.86</v>
      </c>
      <c r="AK22">
        <v>32.51</v>
      </c>
      <c r="AL22">
        <v>1</v>
      </c>
      <c r="AM22">
        <v>2</v>
      </c>
      <c r="AN22">
        <v>0</v>
      </c>
      <c r="AO22">
        <v>1</v>
      </c>
      <c r="AP22">
        <v>1</v>
      </c>
      <c r="AQ22">
        <v>0</v>
      </c>
      <c r="AR22">
        <v>0</v>
      </c>
      <c r="AS22" t="s">
        <v>3</v>
      </c>
      <c r="AT22">
        <v>0.2</v>
      </c>
      <c r="AU22" t="s">
        <v>3</v>
      </c>
      <c r="AV22">
        <v>0</v>
      </c>
      <c r="AW22">
        <v>2</v>
      </c>
      <c r="AX22">
        <v>40777203</v>
      </c>
      <c r="AY22">
        <v>1</v>
      </c>
      <c r="AZ22">
        <v>0</v>
      </c>
      <c r="BA22">
        <v>22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V22">
        <v>0</v>
      </c>
      <c r="CW22">
        <f>ROUND(Y22*Source!I30,9)</f>
        <v>0.19600000000000001</v>
      </c>
      <c r="CX22">
        <f>ROUND(Y22*Source!I30,9)</f>
        <v>0.19600000000000001</v>
      </c>
      <c r="CY22">
        <f>AB22</f>
        <v>1271.79</v>
      </c>
      <c r="CZ22">
        <f>AF22</f>
        <v>91.76</v>
      </c>
      <c r="DA22">
        <f>AJ22</f>
        <v>13.86</v>
      </c>
      <c r="DB22">
        <f t="shared" si="9"/>
        <v>18.350000000000001</v>
      </c>
      <c r="DC22">
        <f t="shared" si="10"/>
        <v>2.0699999999999998</v>
      </c>
      <c r="DD22" t="s">
        <v>3</v>
      </c>
      <c r="DE22" t="s">
        <v>3</v>
      </c>
      <c r="DF22">
        <f t="shared" si="7"/>
        <v>0</v>
      </c>
      <c r="DG22">
        <f>ROUND(ROUND(AF22*AJ22,2)*CX22,2)</f>
        <v>249.27</v>
      </c>
      <c r="DH22">
        <f>ROUND(ROUND(AG22*AK22,2)*CX22,2)</f>
        <v>65.95</v>
      </c>
      <c r="DI22">
        <f t="shared" si="4"/>
        <v>0</v>
      </c>
      <c r="DJ22">
        <f>DG22</f>
        <v>249.27</v>
      </c>
      <c r="DK22">
        <v>0</v>
      </c>
      <c r="DL22" t="s">
        <v>3</v>
      </c>
      <c r="DM22">
        <v>0</v>
      </c>
      <c r="DN22" t="s">
        <v>3</v>
      </c>
      <c r="DO22">
        <v>0</v>
      </c>
    </row>
    <row r="23" spans="1:119" x14ac:dyDescent="0.2">
      <c r="A23">
        <f>ROW(Source!A30)</f>
        <v>30</v>
      </c>
      <c r="B23">
        <v>40777027</v>
      </c>
      <c r="C23">
        <v>40777187</v>
      </c>
      <c r="D23">
        <v>38623941</v>
      </c>
      <c r="E23">
        <v>1</v>
      </c>
      <c r="F23">
        <v>1</v>
      </c>
      <c r="G23">
        <v>1</v>
      </c>
      <c r="H23">
        <v>3</v>
      </c>
      <c r="I23" t="s">
        <v>370</v>
      </c>
      <c r="J23" t="s">
        <v>371</v>
      </c>
      <c r="K23" t="s">
        <v>372</v>
      </c>
      <c r="L23">
        <v>1308</v>
      </c>
      <c r="N23">
        <v>1003</v>
      </c>
      <c r="O23" t="s">
        <v>373</v>
      </c>
      <c r="P23" t="s">
        <v>373</v>
      </c>
      <c r="Q23">
        <v>100</v>
      </c>
      <c r="W23">
        <v>0</v>
      </c>
      <c r="X23">
        <v>-737867663</v>
      </c>
      <c r="Y23">
        <f>(AT23*0)</f>
        <v>0</v>
      </c>
      <c r="AA23">
        <v>767.34</v>
      </c>
      <c r="AB23">
        <v>0</v>
      </c>
      <c r="AC23">
        <v>0</v>
      </c>
      <c r="AD23">
        <v>0</v>
      </c>
      <c r="AE23">
        <v>121.8</v>
      </c>
      <c r="AF23">
        <v>0</v>
      </c>
      <c r="AG23">
        <v>0</v>
      </c>
      <c r="AH23">
        <v>0</v>
      </c>
      <c r="AI23">
        <v>6.3</v>
      </c>
      <c r="AJ23">
        <v>1</v>
      </c>
      <c r="AK23">
        <v>1</v>
      </c>
      <c r="AL23">
        <v>1</v>
      </c>
      <c r="AM23">
        <v>2</v>
      </c>
      <c r="AN23">
        <v>0</v>
      </c>
      <c r="AO23">
        <v>1</v>
      </c>
      <c r="AP23">
        <v>1</v>
      </c>
      <c r="AQ23">
        <v>0</v>
      </c>
      <c r="AR23">
        <v>0</v>
      </c>
      <c r="AS23" t="s">
        <v>3</v>
      </c>
      <c r="AT23">
        <v>9.5999999999999992E-3</v>
      </c>
      <c r="AU23" t="s">
        <v>19</v>
      </c>
      <c r="AV23">
        <v>0</v>
      </c>
      <c r="AW23">
        <v>2</v>
      </c>
      <c r="AX23">
        <v>40777204</v>
      </c>
      <c r="AY23">
        <v>1</v>
      </c>
      <c r="AZ23">
        <v>0</v>
      </c>
      <c r="BA23">
        <v>23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V23">
        <v>0</v>
      </c>
      <c r="CW23">
        <v>0</v>
      </c>
      <c r="CX23">
        <f>ROUND(Y23*Source!I30,9)</f>
        <v>0</v>
      </c>
      <c r="CY23">
        <f>AA23</f>
        <v>767.34</v>
      </c>
      <c r="CZ23">
        <f>AE23</f>
        <v>121.8</v>
      </c>
      <c r="DA23">
        <f>AI23</f>
        <v>6.3</v>
      </c>
      <c r="DB23">
        <f>ROUND((ROUND(AT23*CZ23,2)*0),2)</f>
        <v>0</v>
      </c>
      <c r="DC23">
        <f>ROUND((ROUND(AT23*AG23,2)*0),2)</f>
        <v>0</v>
      </c>
      <c r="DD23" t="s">
        <v>3</v>
      </c>
      <c r="DE23" t="s">
        <v>3</v>
      </c>
      <c r="DF23">
        <f>ROUND(ROUND(AE23*AI23,2)*CX23,2)</f>
        <v>0</v>
      </c>
      <c r="DG23">
        <f>ROUND(ROUND(AF23,2)*CX23,2)</f>
        <v>0</v>
      </c>
      <c r="DH23">
        <f>ROUND(ROUND(AG23,2)*CX23,2)</f>
        <v>0</v>
      </c>
      <c r="DI23">
        <f t="shared" si="4"/>
        <v>0</v>
      </c>
      <c r="DJ23">
        <f>DF23</f>
        <v>0</v>
      </c>
      <c r="DK23">
        <v>0</v>
      </c>
      <c r="DL23" t="s">
        <v>3</v>
      </c>
      <c r="DM23">
        <v>0</v>
      </c>
      <c r="DN23" t="s">
        <v>3</v>
      </c>
      <c r="DO23">
        <v>0</v>
      </c>
    </row>
    <row r="24" spans="1:119" x14ac:dyDescent="0.2">
      <c r="A24">
        <f>ROW(Source!A30)</f>
        <v>30</v>
      </c>
      <c r="B24">
        <v>40777027</v>
      </c>
      <c r="C24">
        <v>40777187</v>
      </c>
      <c r="D24">
        <v>38634896</v>
      </c>
      <c r="E24">
        <v>1</v>
      </c>
      <c r="F24">
        <v>1</v>
      </c>
      <c r="G24">
        <v>1</v>
      </c>
      <c r="H24">
        <v>3</v>
      </c>
      <c r="I24" t="s">
        <v>374</v>
      </c>
      <c r="J24" t="s">
        <v>375</v>
      </c>
      <c r="K24" t="s">
        <v>376</v>
      </c>
      <c r="L24">
        <v>1348</v>
      </c>
      <c r="N24">
        <v>1009</v>
      </c>
      <c r="O24" t="s">
        <v>119</v>
      </c>
      <c r="P24" t="s">
        <v>119</v>
      </c>
      <c r="Q24">
        <v>1000</v>
      </c>
      <c r="W24">
        <v>0</v>
      </c>
      <c r="X24">
        <v>-1286039561</v>
      </c>
      <c r="Y24">
        <f>(AT24*0)</f>
        <v>0</v>
      </c>
      <c r="AA24">
        <v>77557.919999999998</v>
      </c>
      <c r="AB24">
        <v>0</v>
      </c>
      <c r="AC24">
        <v>0</v>
      </c>
      <c r="AD24">
        <v>0</v>
      </c>
      <c r="AE24">
        <v>9528</v>
      </c>
      <c r="AF24">
        <v>0</v>
      </c>
      <c r="AG24">
        <v>0</v>
      </c>
      <c r="AH24">
        <v>0</v>
      </c>
      <c r="AI24">
        <v>8.14</v>
      </c>
      <c r="AJ24">
        <v>1</v>
      </c>
      <c r="AK24">
        <v>1</v>
      </c>
      <c r="AL24">
        <v>1</v>
      </c>
      <c r="AM24">
        <v>2</v>
      </c>
      <c r="AN24">
        <v>0</v>
      </c>
      <c r="AO24">
        <v>1</v>
      </c>
      <c r="AP24">
        <v>1</v>
      </c>
      <c r="AQ24">
        <v>0</v>
      </c>
      <c r="AR24">
        <v>0</v>
      </c>
      <c r="AS24" t="s">
        <v>3</v>
      </c>
      <c r="AT24">
        <v>6.0000000000000002E-5</v>
      </c>
      <c r="AU24" t="s">
        <v>19</v>
      </c>
      <c r="AV24">
        <v>0</v>
      </c>
      <c r="AW24">
        <v>2</v>
      </c>
      <c r="AX24">
        <v>40777205</v>
      </c>
      <c r="AY24">
        <v>1</v>
      </c>
      <c r="AZ24">
        <v>0</v>
      </c>
      <c r="BA24">
        <v>24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V24">
        <v>0</v>
      </c>
      <c r="CW24">
        <v>0</v>
      </c>
      <c r="CX24">
        <f>ROUND(Y24*Source!I30,9)</f>
        <v>0</v>
      </c>
      <c r="CY24">
        <f>AA24</f>
        <v>77557.919999999998</v>
      </c>
      <c r="CZ24">
        <f>AE24</f>
        <v>9528</v>
      </c>
      <c r="DA24">
        <f>AI24</f>
        <v>8.14</v>
      </c>
      <c r="DB24">
        <f>ROUND((ROUND(AT24*CZ24,2)*0),2)</f>
        <v>0</v>
      </c>
      <c r="DC24">
        <f>ROUND((ROUND(AT24*AG24,2)*0),2)</f>
        <v>0</v>
      </c>
      <c r="DD24" t="s">
        <v>3</v>
      </c>
      <c r="DE24" t="s">
        <v>3</v>
      </c>
      <c r="DF24">
        <f>ROUND(ROUND(AE24*AI24,2)*CX24,2)</f>
        <v>0</v>
      </c>
      <c r="DG24">
        <f>ROUND(ROUND(AF24,2)*CX24,2)</f>
        <v>0</v>
      </c>
      <c r="DH24">
        <f>ROUND(ROUND(AG24,2)*CX24,2)</f>
        <v>0</v>
      </c>
      <c r="DI24">
        <f t="shared" si="4"/>
        <v>0</v>
      </c>
      <c r="DJ24">
        <f>DF24</f>
        <v>0</v>
      </c>
      <c r="DK24">
        <v>0</v>
      </c>
      <c r="DL24" t="s">
        <v>3</v>
      </c>
      <c r="DM24">
        <v>0</v>
      </c>
      <c r="DN24" t="s">
        <v>3</v>
      </c>
      <c r="DO24">
        <v>0</v>
      </c>
    </row>
    <row r="25" spans="1:119" x14ac:dyDescent="0.2">
      <c r="A25">
        <f>ROW(Source!A30)</f>
        <v>30</v>
      </c>
      <c r="B25">
        <v>40777027</v>
      </c>
      <c r="C25">
        <v>40777187</v>
      </c>
      <c r="D25">
        <v>38671537</v>
      </c>
      <c r="E25">
        <v>1</v>
      </c>
      <c r="F25">
        <v>1</v>
      </c>
      <c r="G25">
        <v>1</v>
      </c>
      <c r="H25">
        <v>3</v>
      </c>
      <c r="I25" t="s">
        <v>377</v>
      </c>
      <c r="J25" t="s">
        <v>378</v>
      </c>
      <c r="K25" t="s">
        <v>379</v>
      </c>
      <c r="L25">
        <v>1346</v>
      </c>
      <c r="N25">
        <v>1009</v>
      </c>
      <c r="O25" t="s">
        <v>141</v>
      </c>
      <c r="P25" t="s">
        <v>141</v>
      </c>
      <c r="Q25">
        <v>1</v>
      </c>
      <c r="W25">
        <v>0</v>
      </c>
      <c r="X25">
        <v>904967830</v>
      </c>
      <c r="Y25">
        <f>(AT25*0)</f>
        <v>0</v>
      </c>
      <c r="AA25">
        <v>533.02</v>
      </c>
      <c r="AB25">
        <v>0</v>
      </c>
      <c r="AC25">
        <v>0</v>
      </c>
      <c r="AD25">
        <v>0</v>
      </c>
      <c r="AE25">
        <v>71.45</v>
      </c>
      <c r="AF25">
        <v>0</v>
      </c>
      <c r="AG25">
        <v>0</v>
      </c>
      <c r="AH25">
        <v>0</v>
      </c>
      <c r="AI25">
        <v>7.46</v>
      </c>
      <c r="AJ25">
        <v>1</v>
      </c>
      <c r="AK25">
        <v>1</v>
      </c>
      <c r="AL25">
        <v>1</v>
      </c>
      <c r="AM25">
        <v>2</v>
      </c>
      <c r="AN25">
        <v>0</v>
      </c>
      <c r="AO25">
        <v>1</v>
      </c>
      <c r="AP25">
        <v>1</v>
      </c>
      <c r="AQ25">
        <v>0</v>
      </c>
      <c r="AR25">
        <v>0</v>
      </c>
      <c r="AS25" t="s">
        <v>3</v>
      </c>
      <c r="AT25">
        <v>0.5</v>
      </c>
      <c r="AU25" t="s">
        <v>19</v>
      </c>
      <c r="AV25">
        <v>0</v>
      </c>
      <c r="AW25">
        <v>2</v>
      </c>
      <c r="AX25">
        <v>40777206</v>
      </c>
      <c r="AY25">
        <v>1</v>
      </c>
      <c r="AZ25">
        <v>0</v>
      </c>
      <c r="BA25">
        <v>25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V25">
        <v>0</v>
      </c>
      <c r="CW25">
        <v>0</v>
      </c>
      <c r="CX25">
        <f>ROUND(Y25*Source!I30,9)</f>
        <v>0</v>
      </c>
      <c r="CY25">
        <f>AA25</f>
        <v>533.02</v>
      </c>
      <c r="CZ25">
        <f>AE25</f>
        <v>71.45</v>
      </c>
      <c r="DA25">
        <f>AI25</f>
        <v>7.46</v>
      </c>
      <c r="DB25">
        <f>ROUND((ROUND(AT25*CZ25,2)*0),2)</f>
        <v>0</v>
      </c>
      <c r="DC25">
        <f>ROUND((ROUND(AT25*AG25,2)*0),2)</f>
        <v>0</v>
      </c>
      <c r="DD25" t="s">
        <v>3</v>
      </c>
      <c r="DE25" t="s">
        <v>3</v>
      </c>
      <c r="DF25">
        <f>ROUND(ROUND(AE25*AI25,2)*CX25,2)</f>
        <v>0</v>
      </c>
      <c r="DG25">
        <f>ROUND(ROUND(AF25,2)*CX25,2)</f>
        <v>0</v>
      </c>
      <c r="DH25">
        <f>ROUND(ROUND(AG25,2)*CX25,2)</f>
        <v>0</v>
      </c>
      <c r="DI25">
        <f t="shared" si="4"/>
        <v>0</v>
      </c>
      <c r="DJ25">
        <f>DF25</f>
        <v>0</v>
      </c>
      <c r="DK25">
        <v>0</v>
      </c>
      <c r="DL25" t="s">
        <v>3</v>
      </c>
      <c r="DM25">
        <v>0</v>
      </c>
      <c r="DN25" t="s">
        <v>3</v>
      </c>
      <c r="DO25">
        <v>0</v>
      </c>
    </row>
    <row r="26" spans="1:119" x14ac:dyDescent="0.2">
      <c r="A26">
        <f>ROW(Source!A30)</f>
        <v>30</v>
      </c>
      <c r="B26">
        <v>40777027</v>
      </c>
      <c r="C26">
        <v>40777187</v>
      </c>
      <c r="D26">
        <v>38684560</v>
      </c>
      <c r="E26">
        <v>1</v>
      </c>
      <c r="F26">
        <v>1</v>
      </c>
      <c r="G26">
        <v>1</v>
      </c>
      <c r="H26">
        <v>3</v>
      </c>
      <c r="I26" t="s">
        <v>354</v>
      </c>
      <c r="J26" t="s">
        <v>355</v>
      </c>
      <c r="K26" t="s">
        <v>356</v>
      </c>
      <c r="L26">
        <v>1374</v>
      </c>
      <c r="N26">
        <v>1013</v>
      </c>
      <c r="O26" t="s">
        <v>357</v>
      </c>
      <c r="P26" t="s">
        <v>357</v>
      </c>
      <c r="Q26">
        <v>1</v>
      </c>
      <c r="W26">
        <v>0</v>
      </c>
      <c r="X26">
        <v>2131831278</v>
      </c>
      <c r="Y26">
        <f>(AT26*0)</f>
        <v>0</v>
      </c>
      <c r="AA26">
        <v>1</v>
      </c>
      <c r="AB26">
        <v>0</v>
      </c>
      <c r="AC26">
        <v>0</v>
      </c>
      <c r="AD26">
        <v>0</v>
      </c>
      <c r="AE26">
        <v>1</v>
      </c>
      <c r="AF26">
        <v>0</v>
      </c>
      <c r="AG26">
        <v>0</v>
      </c>
      <c r="AH26">
        <v>0</v>
      </c>
      <c r="AI26">
        <v>1</v>
      </c>
      <c r="AJ26">
        <v>1</v>
      </c>
      <c r="AK26">
        <v>1</v>
      </c>
      <c r="AL26">
        <v>1</v>
      </c>
      <c r="AM26">
        <v>-2</v>
      </c>
      <c r="AN26">
        <v>0</v>
      </c>
      <c r="AO26">
        <v>1</v>
      </c>
      <c r="AP26">
        <v>1</v>
      </c>
      <c r="AQ26">
        <v>0</v>
      </c>
      <c r="AR26">
        <v>0</v>
      </c>
      <c r="AS26" t="s">
        <v>3</v>
      </c>
      <c r="AT26">
        <v>4.1399999999999997</v>
      </c>
      <c r="AU26" t="s">
        <v>19</v>
      </c>
      <c r="AV26">
        <v>0</v>
      </c>
      <c r="AW26">
        <v>2</v>
      </c>
      <c r="AX26">
        <v>40777207</v>
      </c>
      <c r="AY26">
        <v>1</v>
      </c>
      <c r="AZ26">
        <v>0</v>
      </c>
      <c r="BA26">
        <v>26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V26">
        <v>0</v>
      </c>
      <c r="CW26">
        <v>0</v>
      </c>
      <c r="CX26">
        <f>ROUND(Y26*Source!I30,9)</f>
        <v>0</v>
      </c>
      <c r="CY26">
        <f>AA26</f>
        <v>1</v>
      </c>
      <c r="CZ26">
        <f>AE26</f>
        <v>1</v>
      </c>
      <c r="DA26">
        <f>AI26</f>
        <v>1</v>
      </c>
      <c r="DB26">
        <f>ROUND((ROUND(AT26*CZ26,2)*0),2)</f>
        <v>0</v>
      </c>
      <c r="DC26">
        <f>ROUND((ROUND(AT26*AG26,2)*0),2)</f>
        <v>0</v>
      </c>
      <c r="DD26" t="s">
        <v>3</v>
      </c>
      <c r="DE26" t="s">
        <v>3</v>
      </c>
      <c r="DF26">
        <f t="shared" ref="DF26:DF38" si="11">ROUND(ROUND(AE26,2)*CX26,2)</f>
        <v>0</v>
      </c>
      <c r="DG26">
        <f>ROUND(ROUND(AF26,2)*CX26,2)</f>
        <v>0</v>
      </c>
      <c r="DH26">
        <f>ROUND(ROUND(AG26,2)*CX26,2)</f>
        <v>0</v>
      </c>
      <c r="DI26">
        <f t="shared" si="4"/>
        <v>0</v>
      </c>
      <c r="DJ26">
        <f>DF26</f>
        <v>0</v>
      </c>
      <c r="DK26">
        <v>0</v>
      </c>
      <c r="DL26" t="s">
        <v>3</v>
      </c>
      <c r="DM26">
        <v>0</v>
      </c>
      <c r="DN26" t="s">
        <v>3</v>
      </c>
      <c r="DO26">
        <v>0</v>
      </c>
    </row>
    <row r="27" spans="1:119" x14ac:dyDescent="0.2">
      <c r="A27">
        <f>ROW(Source!A31)</f>
        <v>31</v>
      </c>
      <c r="B27">
        <v>40777027</v>
      </c>
      <c r="C27">
        <v>40777208</v>
      </c>
      <c r="D27">
        <v>23351395</v>
      </c>
      <c r="E27">
        <v>1</v>
      </c>
      <c r="F27">
        <v>1</v>
      </c>
      <c r="G27">
        <v>1</v>
      </c>
      <c r="H27">
        <v>1</v>
      </c>
      <c r="I27" t="s">
        <v>343</v>
      </c>
      <c r="J27" t="s">
        <v>3</v>
      </c>
      <c r="K27" t="s">
        <v>344</v>
      </c>
      <c r="L27">
        <v>1369</v>
      </c>
      <c r="N27">
        <v>1013</v>
      </c>
      <c r="O27" t="s">
        <v>319</v>
      </c>
      <c r="P27" t="s">
        <v>319</v>
      </c>
      <c r="Q27">
        <v>1</v>
      </c>
      <c r="W27">
        <v>0</v>
      </c>
      <c r="X27">
        <v>1072260845</v>
      </c>
      <c r="Y27">
        <f>AT27</f>
        <v>5.3</v>
      </c>
      <c r="AA27">
        <v>0</v>
      </c>
      <c r="AB27">
        <v>0</v>
      </c>
      <c r="AC27">
        <v>0</v>
      </c>
      <c r="AD27">
        <v>8.99</v>
      </c>
      <c r="AE27">
        <v>0</v>
      </c>
      <c r="AF27">
        <v>0</v>
      </c>
      <c r="AG27">
        <v>0</v>
      </c>
      <c r="AH27">
        <v>8.99</v>
      </c>
      <c r="AI27">
        <v>1</v>
      </c>
      <c r="AJ27">
        <v>1</v>
      </c>
      <c r="AK27">
        <v>1</v>
      </c>
      <c r="AL27">
        <v>1</v>
      </c>
      <c r="AM27">
        <v>-2</v>
      </c>
      <c r="AN27">
        <v>0</v>
      </c>
      <c r="AO27">
        <v>1</v>
      </c>
      <c r="AP27">
        <v>1</v>
      </c>
      <c r="AQ27">
        <v>0</v>
      </c>
      <c r="AR27">
        <v>0</v>
      </c>
      <c r="AS27" t="s">
        <v>3</v>
      </c>
      <c r="AT27">
        <v>5.3</v>
      </c>
      <c r="AU27" t="s">
        <v>3</v>
      </c>
      <c r="AV27">
        <v>1</v>
      </c>
      <c r="AW27">
        <v>2</v>
      </c>
      <c r="AX27">
        <v>40777212</v>
      </c>
      <c r="AY27">
        <v>1</v>
      </c>
      <c r="AZ27">
        <v>0</v>
      </c>
      <c r="BA27">
        <v>27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U27">
        <f>ROUND(AT27*Source!I31*AH27*AL27,2)</f>
        <v>17.63</v>
      </c>
      <c r="CV27">
        <f>ROUND(Y27*Source!I31,9)</f>
        <v>1.9610000000000001</v>
      </c>
      <c r="CW27">
        <v>0</v>
      </c>
      <c r="CX27">
        <f>ROUND(Y27*Source!I31,9)</f>
        <v>1.9610000000000001</v>
      </c>
      <c r="CY27">
        <f>AD27</f>
        <v>8.99</v>
      </c>
      <c r="CZ27">
        <f>AH27</f>
        <v>8.99</v>
      </c>
      <c r="DA27">
        <f>AL27</f>
        <v>1</v>
      </c>
      <c r="DB27">
        <f>ROUND(ROUND(AT27*CZ27,2),2)</f>
        <v>47.65</v>
      </c>
      <c r="DC27">
        <f>ROUND(ROUND(AT27*AG27,2),2)</f>
        <v>0</v>
      </c>
      <c r="DD27" t="s">
        <v>3</v>
      </c>
      <c r="DE27" t="s">
        <v>3</v>
      </c>
      <c r="DF27">
        <f t="shared" si="11"/>
        <v>0</v>
      </c>
      <c r="DG27">
        <f>ROUND(ROUND(AF27,2)*CX27,2)</f>
        <v>0</v>
      </c>
      <c r="DH27">
        <f>ROUND(ROUND(AG27,2)*CX27,2)</f>
        <v>0</v>
      </c>
      <c r="DI27">
        <f t="shared" si="4"/>
        <v>17.63</v>
      </c>
      <c r="DJ27">
        <f>DI27</f>
        <v>17.63</v>
      </c>
      <c r="DK27">
        <v>0</v>
      </c>
      <c r="DL27" t="s">
        <v>3</v>
      </c>
      <c r="DM27">
        <v>0</v>
      </c>
      <c r="DN27" t="s">
        <v>3</v>
      </c>
      <c r="DO27">
        <v>0</v>
      </c>
    </row>
    <row r="28" spans="1:119" x14ac:dyDescent="0.2">
      <c r="A28">
        <f>ROW(Source!A31)</f>
        <v>31</v>
      </c>
      <c r="B28">
        <v>40777027</v>
      </c>
      <c r="C28">
        <v>40777208</v>
      </c>
      <c r="D28">
        <v>38686926</v>
      </c>
      <c r="E28">
        <v>1</v>
      </c>
      <c r="F28">
        <v>1</v>
      </c>
      <c r="G28">
        <v>1</v>
      </c>
      <c r="H28">
        <v>2</v>
      </c>
      <c r="I28" t="s">
        <v>367</v>
      </c>
      <c r="J28" t="s">
        <v>368</v>
      </c>
      <c r="K28" t="s">
        <v>369</v>
      </c>
      <c r="L28">
        <v>1368</v>
      </c>
      <c r="N28">
        <v>1011</v>
      </c>
      <c r="O28" t="s">
        <v>325</v>
      </c>
      <c r="P28" t="s">
        <v>325</v>
      </c>
      <c r="Q28">
        <v>1</v>
      </c>
      <c r="W28">
        <v>0</v>
      </c>
      <c r="X28">
        <v>-671646184</v>
      </c>
      <c r="Y28">
        <f>AT28</f>
        <v>3.9</v>
      </c>
      <c r="AA28">
        <v>0</v>
      </c>
      <c r="AB28">
        <v>1271.79</v>
      </c>
      <c r="AC28">
        <v>336.48</v>
      </c>
      <c r="AD28">
        <v>0</v>
      </c>
      <c r="AE28">
        <v>0</v>
      </c>
      <c r="AF28">
        <v>91.76</v>
      </c>
      <c r="AG28">
        <v>10.35</v>
      </c>
      <c r="AH28">
        <v>0</v>
      </c>
      <c r="AI28">
        <v>1</v>
      </c>
      <c r="AJ28">
        <v>13.86</v>
      </c>
      <c r="AK28">
        <v>32.51</v>
      </c>
      <c r="AL28">
        <v>1</v>
      </c>
      <c r="AM28">
        <v>2</v>
      </c>
      <c r="AN28">
        <v>0</v>
      </c>
      <c r="AO28">
        <v>1</v>
      </c>
      <c r="AP28">
        <v>1</v>
      </c>
      <c r="AQ28">
        <v>0</v>
      </c>
      <c r="AR28">
        <v>0</v>
      </c>
      <c r="AS28" t="s">
        <v>3</v>
      </c>
      <c r="AT28">
        <v>3.9</v>
      </c>
      <c r="AU28" t="s">
        <v>3</v>
      </c>
      <c r="AV28">
        <v>0</v>
      </c>
      <c r="AW28">
        <v>2</v>
      </c>
      <c r="AX28">
        <v>40777213</v>
      </c>
      <c r="AY28">
        <v>1</v>
      </c>
      <c r="AZ28">
        <v>0</v>
      </c>
      <c r="BA28">
        <v>28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V28">
        <v>0</v>
      </c>
      <c r="CW28">
        <f>ROUND(Y28*Source!I31,9)</f>
        <v>1.4430000000000001</v>
      </c>
      <c r="CX28">
        <f>ROUND(Y28*Source!I31,9)</f>
        <v>1.4430000000000001</v>
      </c>
      <c r="CY28">
        <f>AB28</f>
        <v>1271.79</v>
      </c>
      <c r="CZ28">
        <f>AF28</f>
        <v>91.76</v>
      </c>
      <c r="DA28">
        <f>AJ28</f>
        <v>13.86</v>
      </c>
      <c r="DB28">
        <f>ROUND(ROUND(AT28*CZ28,2),2)</f>
        <v>357.86</v>
      </c>
      <c r="DC28">
        <f>ROUND(ROUND(AT28*AG28,2),2)</f>
        <v>40.369999999999997</v>
      </c>
      <c r="DD28" t="s">
        <v>3</v>
      </c>
      <c r="DE28" t="s">
        <v>3</v>
      </c>
      <c r="DF28">
        <f t="shared" si="11"/>
        <v>0</v>
      </c>
      <c r="DG28">
        <f>ROUND(ROUND(AF28*AJ28,2)*CX28,2)</f>
        <v>1835.19</v>
      </c>
      <c r="DH28">
        <f>ROUND(ROUND(AG28*AK28,2)*CX28,2)</f>
        <v>485.54</v>
      </c>
      <c r="DI28">
        <f t="shared" si="4"/>
        <v>0</v>
      </c>
      <c r="DJ28">
        <f>DG28</f>
        <v>1835.19</v>
      </c>
      <c r="DK28">
        <v>0</v>
      </c>
      <c r="DL28" t="s">
        <v>3</v>
      </c>
      <c r="DM28">
        <v>0</v>
      </c>
      <c r="DN28" t="s">
        <v>3</v>
      </c>
      <c r="DO28">
        <v>0</v>
      </c>
    </row>
    <row r="29" spans="1:119" x14ac:dyDescent="0.2">
      <c r="A29">
        <f>ROW(Source!A31)</f>
        <v>31</v>
      </c>
      <c r="B29">
        <v>40777027</v>
      </c>
      <c r="C29">
        <v>40777208</v>
      </c>
      <c r="D29">
        <v>38684560</v>
      </c>
      <c r="E29">
        <v>1</v>
      </c>
      <c r="F29">
        <v>1</v>
      </c>
      <c r="G29">
        <v>1</v>
      </c>
      <c r="H29">
        <v>3</v>
      </c>
      <c r="I29" t="s">
        <v>354</v>
      </c>
      <c r="J29" t="s">
        <v>355</v>
      </c>
      <c r="K29" t="s">
        <v>356</v>
      </c>
      <c r="L29">
        <v>1374</v>
      </c>
      <c r="N29">
        <v>1013</v>
      </c>
      <c r="O29" t="s">
        <v>357</v>
      </c>
      <c r="P29" t="s">
        <v>357</v>
      </c>
      <c r="Q29">
        <v>1</v>
      </c>
      <c r="W29">
        <v>0</v>
      </c>
      <c r="X29">
        <v>2131831278</v>
      </c>
      <c r="Y29">
        <f>(AT29*0)</f>
        <v>0</v>
      </c>
      <c r="AA29">
        <v>1</v>
      </c>
      <c r="AB29">
        <v>0</v>
      </c>
      <c r="AC29">
        <v>0</v>
      </c>
      <c r="AD29">
        <v>0</v>
      </c>
      <c r="AE29">
        <v>1</v>
      </c>
      <c r="AF29">
        <v>0</v>
      </c>
      <c r="AG29">
        <v>0</v>
      </c>
      <c r="AH29">
        <v>0</v>
      </c>
      <c r="AI29">
        <v>1</v>
      </c>
      <c r="AJ29">
        <v>1</v>
      </c>
      <c r="AK29">
        <v>1</v>
      </c>
      <c r="AL29">
        <v>1</v>
      </c>
      <c r="AM29">
        <v>-2</v>
      </c>
      <c r="AN29">
        <v>0</v>
      </c>
      <c r="AO29">
        <v>1</v>
      </c>
      <c r="AP29">
        <v>1</v>
      </c>
      <c r="AQ29">
        <v>0</v>
      </c>
      <c r="AR29">
        <v>0</v>
      </c>
      <c r="AS29" t="s">
        <v>3</v>
      </c>
      <c r="AT29">
        <v>0.95</v>
      </c>
      <c r="AU29" t="s">
        <v>19</v>
      </c>
      <c r="AV29">
        <v>0</v>
      </c>
      <c r="AW29">
        <v>2</v>
      </c>
      <c r="AX29">
        <v>40777214</v>
      </c>
      <c r="AY29">
        <v>1</v>
      </c>
      <c r="AZ29">
        <v>0</v>
      </c>
      <c r="BA29">
        <v>29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V29">
        <v>0</v>
      </c>
      <c r="CW29">
        <v>0</v>
      </c>
      <c r="CX29">
        <f>ROUND(Y29*Source!I31,9)</f>
        <v>0</v>
      </c>
      <c r="CY29">
        <f>AA29</f>
        <v>1</v>
      </c>
      <c r="CZ29">
        <f>AE29</f>
        <v>1</v>
      </c>
      <c r="DA29">
        <f>AI29</f>
        <v>1</v>
      </c>
      <c r="DB29">
        <f>ROUND((ROUND(AT29*CZ29,2)*0),2)</f>
        <v>0</v>
      </c>
      <c r="DC29">
        <f>ROUND((ROUND(AT29*AG29,2)*0),2)</f>
        <v>0</v>
      </c>
      <c r="DD29" t="s">
        <v>3</v>
      </c>
      <c r="DE29" t="s">
        <v>3</v>
      </c>
      <c r="DF29">
        <f t="shared" si="11"/>
        <v>0</v>
      </c>
      <c r="DG29">
        <f>ROUND(ROUND(AF29,2)*CX29,2)</f>
        <v>0</v>
      </c>
      <c r="DH29">
        <f>ROUND(ROUND(AG29,2)*CX29,2)</f>
        <v>0</v>
      </c>
      <c r="DI29">
        <f t="shared" si="4"/>
        <v>0</v>
      </c>
      <c r="DJ29">
        <f>DF29</f>
        <v>0</v>
      </c>
      <c r="DK29">
        <v>0</v>
      </c>
      <c r="DL29" t="s">
        <v>3</v>
      </c>
      <c r="DM29">
        <v>0</v>
      </c>
      <c r="DN29" t="s">
        <v>3</v>
      </c>
      <c r="DO29">
        <v>0</v>
      </c>
    </row>
    <row r="30" spans="1:119" x14ac:dyDescent="0.2">
      <c r="A30">
        <f>ROW(Source!A32)</f>
        <v>32</v>
      </c>
      <c r="B30">
        <v>40777027</v>
      </c>
      <c r="C30">
        <v>40777215</v>
      </c>
      <c r="D30">
        <v>23351395</v>
      </c>
      <c r="E30">
        <v>1</v>
      </c>
      <c r="F30">
        <v>1</v>
      </c>
      <c r="G30">
        <v>1</v>
      </c>
      <c r="H30">
        <v>1</v>
      </c>
      <c r="I30" t="s">
        <v>343</v>
      </c>
      <c r="J30" t="s">
        <v>3</v>
      </c>
      <c r="K30" t="s">
        <v>344</v>
      </c>
      <c r="L30">
        <v>1369</v>
      </c>
      <c r="N30">
        <v>1013</v>
      </c>
      <c r="O30" t="s">
        <v>319</v>
      </c>
      <c r="P30" t="s">
        <v>319</v>
      </c>
      <c r="Q30">
        <v>1</v>
      </c>
      <c r="W30">
        <v>0</v>
      </c>
      <c r="X30">
        <v>1072260845</v>
      </c>
      <c r="Y30">
        <f>AT30</f>
        <v>1.99</v>
      </c>
      <c r="AA30">
        <v>0</v>
      </c>
      <c r="AB30">
        <v>0</v>
      </c>
      <c r="AC30">
        <v>0</v>
      </c>
      <c r="AD30">
        <v>8.99</v>
      </c>
      <c r="AE30">
        <v>0</v>
      </c>
      <c r="AF30">
        <v>0</v>
      </c>
      <c r="AG30">
        <v>0</v>
      </c>
      <c r="AH30">
        <v>8.99</v>
      </c>
      <c r="AI30">
        <v>1</v>
      </c>
      <c r="AJ30">
        <v>1</v>
      </c>
      <c r="AK30">
        <v>1</v>
      </c>
      <c r="AL30">
        <v>1</v>
      </c>
      <c r="AM30">
        <v>-2</v>
      </c>
      <c r="AN30">
        <v>0</v>
      </c>
      <c r="AO30">
        <v>1</v>
      </c>
      <c r="AP30">
        <v>1</v>
      </c>
      <c r="AQ30">
        <v>0</v>
      </c>
      <c r="AR30">
        <v>0</v>
      </c>
      <c r="AS30" t="s">
        <v>3</v>
      </c>
      <c r="AT30">
        <v>1.99</v>
      </c>
      <c r="AU30" t="s">
        <v>3</v>
      </c>
      <c r="AV30">
        <v>1</v>
      </c>
      <c r="AW30">
        <v>2</v>
      </c>
      <c r="AX30">
        <v>40777219</v>
      </c>
      <c r="AY30">
        <v>1</v>
      </c>
      <c r="AZ30">
        <v>0</v>
      </c>
      <c r="BA30">
        <v>30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U30">
        <f>ROUND(AT30*Source!I32*AH30*AL30,2)</f>
        <v>6.62</v>
      </c>
      <c r="CV30">
        <f>ROUND(Y30*Source!I32,9)</f>
        <v>0.73629999999999995</v>
      </c>
      <c r="CW30">
        <v>0</v>
      </c>
      <c r="CX30">
        <f>ROUND(Y30*Source!I32,9)</f>
        <v>0.73629999999999995</v>
      </c>
      <c r="CY30">
        <f>AD30</f>
        <v>8.99</v>
      </c>
      <c r="CZ30">
        <f>AH30</f>
        <v>8.99</v>
      </c>
      <c r="DA30">
        <f>AL30</f>
        <v>1</v>
      </c>
      <c r="DB30">
        <f>ROUND(ROUND(AT30*CZ30,2),2)</f>
        <v>17.89</v>
      </c>
      <c r="DC30">
        <f>ROUND(ROUND(AT30*AG30,2),2)</f>
        <v>0</v>
      </c>
      <c r="DD30" t="s">
        <v>3</v>
      </c>
      <c r="DE30" t="s">
        <v>3</v>
      </c>
      <c r="DF30">
        <f t="shared" si="11"/>
        <v>0</v>
      </c>
      <c r="DG30">
        <f>ROUND(ROUND(AF30,2)*CX30,2)</f>
        <v>0</v>
      </c>
      <c r="DH30">
        <f>ROUND(ROUND(AG30,2)*CX30,2)</f>
        <v>0</v>
      </c>
      <c r="DI30">
        <f t="shared" si="4"/>
        <v>6.62</v>
      </c>
      <c r="DJ30">
        <f>DI30</f>
        <v>6.62</v>
      </c>
      <c r="DK30">
        <v>0</v>
      </c>
      <c r="DL30" t="s">
        <v>3</v>
      </c>
      <c r="DM30">
        <v>0</v>
      </c>
      <c r="DN30" t="s">
        <v>3</v>
      </c>
      <c r="DO30">
        <v>0</v>
      </c>
    </row>
    <row r="31" spans="1:119" x14ac:dyDescent="0.2">
      <c r="A31">
        <f>ROW(Source!A32)</f>
        <v>32</v>
      </c>
      <c r="B31">
        <v>40777027</v>
      </c>
      <c r="C31">
        <v>40777215</v>
      </c>
      <c r="D31">
        <v>38686926</v>
      </c>
      <c r="E31">
        <v>1</v>
      </c>
      <c r="F31">
        <v>1</v>
      </c>
      <c r="G31">
        <v>1</v>
      </c>
      <c r="H31">
        <v>2</v>
      </c>
      <c r="I31" t="s">
        <v>367</v>
      </c>
      <c r="J31" t="s">
        <v>368</v>
      </c>
      <c r="K31" t="s">
        <v>369</v>
      </c>
      <c r="L31">
        <v>1368</v>
      </c>
      <c r="N31">
        <v>1011</v>
      </c>
      <c r="O31" t="s">
        <v>325</v>
      </c>
      <c r="P31" t="s">
        <v>325</v>
      </c>
      <c r="Q31">
        <v>1</v>
      </c>
      <c r="W31">
        <v>0</v>
      </c>
      <c r="X31">
        <v>-671646184</v>
      </c>
      <c r="Y31">
        <f>AT31</f>
        <v>0.08</v>
      </c>
      <c r="AA31">
        <v>0</v>
      </c>
      <c r="AB31">
        <v>1271.79</v>
      </c>
      <c r="AC31">
        <v>336.48</v>
      </c>
      <c r="AD31">
        <v>0</v>
      </c>
      <c r="AE31">
        <v>0</v>
      </c>
      <c r="AF31">
        <v>91.76</v>
      </c>
      <c r="AG31">
        <v>10.35</v>
      </c>
      <c r="AH31">
        <v>0</v>
      </c>
      <c r="AI31">
        <v>1</v>
      </c>
      <c r="AJ31">
        <v>13.86</v>
      </c>
      <c r="AK31">
        <v>32.51</v>
      </c>
      <c r="AL31">
        <v>1</v>
      </c>
      <c r="AM31">
        <v>2</v>
      </c>
      <c r="AN31">
        <v>0</v>
      </c>
      <c r="AO31">
        <v>1</v>
      </c>
      <c r="AP31">
        <v>1</v>
      </c>
      <c r="AQ31">
        <v>0</v>
      </c>
      <c r="AR31">
        <v>0</v>
      </c>
      <c r="AS31" t="s">
        <v>3</v>
      </c>
      <c r="AT31">
        <v>0.08</v>
      </c>
      <c r="AU31" t="s">
        <v>3</v>
      </c>
      <c r="AV31">
        <v>0</v>
      </c>
      <c r="AW31">
        <v>2</v>
      </c>
      <c r="AX31">
        <v>40777220</v>
      </c>
      <c r="AY31">
        <v>1</v>
      </c>
      <c r="AZ31">
        <v>0</v>
      </c>
      <c r="BA31">
        <v>31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V31">
        <v>0</v>
      </c>
      <c r="CW31">
        <f>ROUND(Y31*Source!I32,9)</f>
        <v>2.9600000000000001E-2</v>
      </c>
      <c r="CX31">
        <f>ROUND(Y31*Source!I32,9)</f>
        <v>2.9600000000000001E-2</v>
      </c>
      <c r="CY31">
        <f>AB31</f>
        <v>1271.79</v>
      </c>
      <c r="CZ31">
        <f>AF31</f>
        <v>91.76</v>
      </c>
      <c r="DA31">
        <f>AJ31</f>
        <v>13.86</v>
      </c>
      <c r="DB31">
        <f>ROUND(ROUND(AT31*CZ31,2),2)</f>
        <v>7.34</v>
      </c>
      <c r="DC31">
        <f>ROUND(ROUND(AT31*AG31,2),2)</f>
        <v>0.83</v>
      </c>
      <c r="DD31" t="s">
        <v>3</v>
      </c>
      <c r="DE31" t="s">
        <v>3</v>
      </c>
      <c r="DF31">
        <f t="shared" si="11"/>
        <v>0</v>
      </c>
      <c r="DG31">
        <f>ROUND(ROUND(AF31*AJ31,2)*CX31,2)</f>
        <v>37.64</v>
      </c>
      <c r="DH31">
        <f>ROUND(ROUND(AG31*AK31,2)*CX31,2)</f>
        <v>9.9600000000000009</v>
      </c>
      <c r="DI31">
        <f t="shared" si="4"/>
        <v>0</v>
      </c>
      <c r="DJ31">
        <f>DG31</f>
        <v>37.64</v>
      </c>
      <c r="DK31">
        <v>0</v>
      </c>
      <c r="DL31" t="s">
        <v>3</v>
      </c>
      <c r="DM31">
        <v>0</v>
      </c>
      <c r="DN31" t="s">
        <v>3</v>
      </c>
      <c r="DO31">
        <v>0</v>
      </c>
    </row>
    <row r="32" spans="1:119" x14ac:dyDescent="0.2">
      <c r="A32">
        <f>ROW(Source!A32)</f>
        <v>32</v>
      </c>
      <c r="B32">
        <v>40777027</v>
      </c>
      <c r="C32">
        <v>40777215</v>
      </c>
      <c r="D32">
        <v>38684560</v>
      </c>
      <c r="E32">
        <v>1</v>
      </c>
      <c r="F32">
        <v>1</v>
      </c>
      <c r="G32">
        <v>1</v>
      </c>
      <c r="H32">
        <v>3</v>
      </c>
      <c r="I32" t="s">
        <v>354</v>
      </c>
      <c r="J32" t="s">
        <v>355</v>
      </c>
      <c r="K32" t="s">
        <v>356</v>
      </c>
      <c r="L32">
        <v>1374</v>
      </c>
      <c r="N32">
        <v>1013</v>
      </c>
      <c r="O32" t="s">
        <v>357</v>
      </c>
      <c r="P32" t="s">
        <v>357</v>
      </c>
      <c r="Q32">
        <v>1</v>
      </c>
      <c r="W32">
        <v>0</v>
      </c>
      <c r="X32">
        <v>2131831278</v>
      </c>
      <c r="Y32">
        <f>(AT32*0)</f>
        <v>0</v>
      </c>
      <c r="AA32">
        <v>1</v>
      </c>
      <c r="AB32">
        <v>0</v>
      </c>
      <c r="AC32">
        <v>0</v>
      </c>
      <c r="AD32">
        <v>0</v>
      </c>
      <c r="AE32">
        <v>1</v>
      </c>
      <c r="AF32">
        <v>0</v>
      </c>
      <c r="AG32">
        <v>0</v>
      </c>
      <c r="AH32">
        <v>0</v>
      </c>
      <c r="AI32">
        <v>1</v>
      </c>
      <c r="AJ32">
        <v>1</v>
      </c>
      <c r="AK32">
        <v>1</v>
      </c>
      <c r="AL32">
        <v>1</v>
      </c>
      <c r="AM32">
        <v>-2</v>
      </c>
      <c r="AN32">
        <v>0</v>
      </c>
      <c r="AO32">
        <v>1</v>
      </c>
      <c r="AP32">
        <v>1</v>
      </c>
      <c r="AQ32">
        <v>0</v>
      </c>
      <c r="AR32">
        <v>0</v>
      </c>
      <c r="AS32" t="s">
        <v>3</v>
      </c>
      <c r="AT32">
        <v>0.36</v>
      </c>
      <c r="AU32" t="s">
        <v>19</v>
      </c>
      <c r="AV32">
        <v>0</v>
      </c>
      <c r="AW32">
        <v>2</v>
      </c>
      <c r="AX32">
        <v>40777221</v>
      </c>
      <c r="AY32">
        <v>1</v>
      </c>
      <c r="AZ32">
        <v>0</v>
      </c>
      <c r="BA32">
        <v>32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V32">
        <v>0</v>
      </c>
      <c r="CW32">
        <v>0</v>
      </c>
      <c r="CX32">
        <f>ROUND(Y32*Source!I32,9)</f>
        <v>0</v>
      </c>
      <c r="CY32">
        <f>AA32</f>
        <v>1</v>
      </c>
      <c r="CZ32">
        <f>AE32</f>
        <v>1</v>
      </c>
      <c r="DA32">
        <f>AI32</f>
        <v>1</v>
      </c>
      <c r="DB32">
        <f>ROUND((ROUND(AT32*CZ32,2)*0),2)</f>
        <v>0</v>
      </c>
      <c r="DC32">
        <f>ROUND((ROUND(AT32*AG32,2)*0),2)</f>
        <v>0</v>
      </c>
      <c r="DD32" t="s">
        <v>3</v>
      </c>
      <c r="DE32" t="s">
        <v>3</v>
      </c>
      <c r="DF32">
        <f t="shared" si="11"/>
        <v>0</v>
      </c>
      <c r="DG32">
        <f>ROUND(ROUND(AF32,2)*CX32,2)</f>
        <v>0</v>
      </c>
      <c r="DH32">
        <f>ROUND(ROUND(AG32,2)*CX32,2)</f>
        <v>0</v>
      </c>
      <c r="DI32">
        <f t="shared" si="4"/>
        <v>0</v>
      </c>
      <c r="DJ32">
        <f>DF32</f>
        <v>0</v>
      </c>
      <c r="DK32">
        <v>0</v>
      </c>
      <c r="DL32" t="s">
        <v>3</v>
      </c>
      <c r="DM32">
        <v>0</v>
      </c>
      <c r="DN32" t="s">
        <v>3</v>
      </c>
      <c r="DO32">
        <v>0</v>
      </c>
    </row>
    <row r="33" spans="1:119" x14ac:dyDescent="0.2">
      <c r="A33">
        <f>ROW(Source!A33)</f>
        <v>33</v>
      </c>
      <c r="B33">
        <v>40777027</v>
      </c>
      <c r="C33">
        <v>40777222</v>
      </c>
      <c r="D33">
        <v>23351395</v>
      </c>
      <c r="E33">
        <v>1</v>
      </c>
      <c r="F33">
        <v>1</v>
      </c>
      <c r="G33">
        <v>1</v>
      </c>
      <c r="H33">
        <v>1</v>
      </c>
      <c r="I33" t="s">
        <v>343</v>
      </c>
      <c r="J33" t="s">
        <v>3</v>
      </c>
      <c r="K33" t="s">
        <v>344</v>
      </c>
      <c r="L33">
        <v>1369</v>
      </c>
      <c r="N33">
        <v>1013</v>
      </c>
      <c r="O33" t="s">
        <v>319</v>
      </c>
      <c r="P33" t="s">
        <v>319</v>
      </c>
      <c r="Q33">
        <v>1</v>
      </c>
      <c r="W33">
        <v>0</v>
      </c>
      <c r="X33">
        <v>1072260845</v>
      </c>
      <c r="Y33">
        <f t="shared" ref="Y33:Y38" si="12">AT33</f>
        <v>17.440000000000001</v>
      </c>
      <c r="AA33">
        <v>0</v>
      </c>
      <c r="AB33">
        <v>0</v>
      </c>
      <c r="AC33">
        <v>0</v>
      </c>
      <c r="AD33">
        <v>8.99</v>
      </c>
      <c r="AE33">
        <v>0</v>
      </c>
      <c r="AF33">
        <v>0</v>
      </c>
      <c r="AG33">
        <v>0</v>
      </c>
      <c r="AH33">
        <v>8.99</v>
      </c>
      <c r="AI33">
        <v>1</v>
      </c>
      <c r="AJ33">
        <v>1</v>
      </c>
      <c r="AK33">
        <v>1</v>
      </c>
      <c r="AL33">
        <v>1</v>
      </c>
      <c r="AM33">
        <v>-2</v>
      </c>
      <c r="AN33">
        <v>0</v>
      </c>
      <c r="AO33">
        <v>1</v>
      </c>
      <c r="AP33">
        <v>1</v>
      </c>
      <c r="AQ33">
        <v>0</v>
      </c>
      <c r="AR33">
        <v>0</v>
      </c>
      <c r="AS33" t="s">
        <v>3</v>
      </c>
      <c r="AT33">
        <v>17.440000000000001</v>
      </c>
      <c r="AU33" t="s">
        <v>3</v>
      </c>
      <c r="AV33">
        <v>1</v>
      </c>
      <c r="AW33">
        <v>2</v>
      </c>
      <c r="AX33">
        <v>40777235</v>
      </c>
      <c r="AY33">
        <v>1</v>
      </c>
      <c r="AZ33">
        <v>0</v>
      </c>
      <c r="BA33">
        <v>33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U33">
        <f>ROUND(AT33*Source!I33*AH33*AL33,2)</f>
        <v>116.02</v>
      </c>
      <c r="CV33">
        <f>ROUND(Y33*Source!I33,9)</f>
        <v>12.9056</v>
      </c>
      <c r="CW33">
        <v>0</v>
      </c>
      <c r="CX33">
        <f>ROUND(Y33*Source!I33,9)</f>
        <v>12.9056</v>
      </c>
      <c r="CY33">
        <f>AD33</f>
        <v>8.99</v>
      </c>
      <c r="CZ33">
        <f>AH33</f>
        <v>8.99</v>
      </c>
      <c r="DA33">
        <f>AL33</f>
        <v>1</v>
      </c>
      <c r="DB33">
        <f t="shared" ref="DB33:DB38" si="13">ROUND(ROUND(AT33*CZ33,2),2)</f>
        <v>156.79</v>
      </c>
      <c r="DC33">
        <f t="shared" ref="DC33:DC38" si="14">ROUND(ROUND(AT33*AG33,2),2)</f>
        <v>0</v>
      </c>
      <c r="DD33" t="s">
        <v>3</v>
      </c>
      <c r="DE33" t="s">
        <v>3</v>
      </c>
      <c r="DF33">
        <f t="shared" si="11"/>
        <v>0</v>
      </c>
      <c r="DG33">
        <f>ROUND(ROUND(AF33,2)*CX33,2)</f>
        <v>0</v>
      </c>
      <c r="DH33">
        <f>ROUND(ROUND(AG33,2)*CX33,2)</f>
        <v>0</v>
      </c>
      <c r="DI33">
        <f t="shared" ref="DI33:DI64" si="15">ROUND(ROUND(AH33,2)*CX33,2)</f>
        <v>116.02</v>
      </c>
      <c r="DJ33">
        <f>DI33</f>
        <v>116.02</v>
      </c>
      <c r="DK33">
        <v>0</v>
      </c>
      <c r="DL33" t="s">
        <v>3</v>
      </c>
      <c r="DM33">
        <v>0</v>
      </c>
      <c r="DN33" t="s">
        <v>3</v>
      </c>
      <c r="DO33">
        <v>0</v>
      </c>
    </row>
    <row r="34" spans="1:119" x14ac:dyDescent="0.2">
      <c r="A34">
        <f>ROW(Source!A33)</f>
        <v>33</v>
      </c>
      <c r="B34">
        <v>40777027</v>
      </c>
      <c r="C34">
        <v>40777222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26</v>
      </c>
      <c r="J34" t="s">
        <v>3</v>
      </c>
      <c r="K34" t="s">
        <v>320</v>
      </c>
      <c r="L34">
        <v>608254</v>
      </c>
      <c r="N34">
        <v>1013</v>
      </c>
      <c r="O34" t="s">
        <v>321</v>
      </c>
      <c r="P34" t="s">
        <v>321</v>
      </c>
      <c r="Q34">
        <v>1</v>
      </c>
      <c r="W34">
        <v>0</v>
      </c>
      <c r="X34">
        <v>-185737400</v>
      </c>
      <c r="Y34">
        <f t="shared" si="12"/>
        <v>1.32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1</v>
      </c>
      <c r="AJ34">
        <v>1</v>
      </c>
      <c r="AK34">
        <v>1</v>
      </c>
      <c r="AL34">
        <v>1</v>
      </c>
      <c r="AM34">
        <v>-2</v>
      </c>
      <c r="AN34">
        <v>0</v>
      </c>
      <c r="AO34">
        <v>1</v>
      </c>
      <c r="AP34">
        <v>1</v>
      </c>
      <c r="AQ34">
        <v>0</v>
      </c>
      <c r="AR34">
        <v>0</v>
      </c>
      <c r="AS34" t="s">
        <v>3</v>
      </c>
      <c r="AT34">
        <v>1.32</v>
      </c>
      <c r="AU34" t="s">
        <v>3</v>
      </c>
      <c r="AV34">
        <v>2</v>
      </c>
      <c r="AW34">
        <v>2</v>
      </c>
      <c r="AX34">
        <v>40777236</v>
      </c>
      <c r="AY34">
        <v>1</v>
      </c>
      <c r="AZ34">
        <v>0</v>
      </c>
      <c r="BA34">
        <v>34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V34">
        <v>0</v>
      </c>
      <c r="CW34">
        <v>0</v>
      </c>
      <c r="CX34">
        <f>ROUND(Y34*Source!I33,9)</f>
        <v>0.9768</v>
      </c>
      <c r="CY34">
        <f>AD34</f>
        <v>0</v>
      </c>
      <c r="CZ34">
        <f>AH34</f>
        <v>0</v>
      </c>
      <c r="DA34">
        <f>AL34</f>
        <v>1</v>
      </c>
      <c r="DB34">
        <f t="shared" si="13"/>
        <v>0</v>
      </c>
      <c r="DC34">
        <f t="shared" si="14"/>
        <v>0</v>
      </c>
      <c r="DD34" t="s">
        <v>3</v>
      </c>
      <c r="DE34" t="s">
        <v>3</v>
      </c>
      <c r="DF34">
        <f t="shared" si="11"/>
        <v>0</v>
      </c>
      <c r="DG34">
        <f>ROUND(ROUND(AF34,2)*CX34,2)</f>
        <v>0</v>
      </c>
      <c r="DH34">
        <f>ROUND(ROUND(AG34,2)*CX34,2)</f>
        <v>0</v>
      </c>
      <c r="DI34">
        <f t="shared" si="15"/>
        <v>0</v>
      </c>
      <c r="DJ34">
        <f>DI34</f>
        <v>0</v>
      </c>
      <c r="DK34">
        <v>0</v>
      </c>
      <c r="DL34" t="s">
        <v>3</v>
      </c>
      <c r="DM34">
        <v>0</v>
      </c>
      <c r="DN34" t="s">
        <v>3</v>
      </c>
      <c r="DO34">
        <v>0</v>
      </c>
    </row>
    <row r="35" spans="1:119" x14ac:dyDescent="0.2">
      <c r="A35">
        <f>ROW(Source!A33)</f>
        <v>33</v>
      </c>
      <c r="B35">
        <v>40777027</v>
      </c>
      <c r="C35">
        <v>40777222</v>
      </c>
      <c r="D35">
        <v>38685072</v>
      </c>
      <c r="E35">
        <v>1</v>
      </c>
      <c r="F35">
        <v>1</v>
      </c>
      <c r="G35">
        <v>1</v>
      </c>
      <c r="H35">
        <v>2</v>
      </c>
      <c r="I35" t="s">
        <v>358</v>
      </c>
      <c r="J35" t="s">
        <v>359</v>
      </c>
      <c r="K35" t="s">
        <v>360</v>
      </c>
      <c r="L35">
        <v>1368</v>
      </c>
      <c r="N35">
        <v>1011</v>
      </c>
      <c r="O35" t="s">
        <v>325</v>
      </c>
      <c r="P35" t="s">
        <v>325</v>
      </c>
      <c r="Q35">
        <v>1</v>
      </c>
      <c r="W35">
        <v>0</v>
      </c>
      <c r="X35">
        <v>-1424728221</v>
      </c>
      <c r="Y35">
        <f t="shared" si="12"/>
        <v>1.32</v>
      </c>
      <c r="AA35">
        <v>0</v>
      </c>
      <c r="AB35">
        <v>1442.2</v>
      </c>
      <c r="AC35">
        <v>393.37</v>
      </c>
      <c r="AD35">
        <v>0</v>
      </c>
      <c r="AE35">
        <v>0</v>
      </c>
      <c r="AF35">
        <v>138.54</v>
      </c>
      <c r="AG35">
        <v>12.1</v>
      </c>
      <c r="AH35">
        <v>0</v>
      </c>
      <c r="AI35">
        <v>1</v>
      </c>
      <c r="AJ35">
        <v>10.41</v>
      </c>
      <c r="AK35">
        <v>32.51</v>
      </c>
      <c r="AL35">
        <v>1</v>
      </c>
      <c r="AM35">
        <v>2</v>
      </c>
      <c r="AN35">
        <v>0</v>
      </c>
      <c r="AO35">
        <v>1</v>
      </c>
      <c r="AP35">
        <v>1</v>
      </c>
      <c r="AQ35">
        <v>0</v>
      </c>
      <c r="AR35">
        <v>0</v>
      </c>
      <c r="AS35" t="s">
        <v>3</v>
      </c>
      <c r="AT35">
        <v>1.32</v>
      </c>
      <c r="AU35" t="s">
        <v>3</v>
      </c>
      <c r="AV35">
        <v>0</v>
      </c>
      <c r="AW35">
        <v>2</v>
      </c>
      <c r="AX35">
        <v>40777237</v>
      </c>
      <c r="AY35">
        <v>1</v>
      </c>
      <c r="AZ35">
        <v>0</v>
      </c>
      <c r="BA35">
        <v>35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V35">
        <v>0</v>
      </c>
      <c r="CW35">
        <f>ROUND(Y35*Source!I33,9)</f>
        <v>0.9768</v>
      </c>
      <c r="CX35">
        <f>ROUND(Y35*Source!I33,9)</f>
        <v>0.9768</v>
      </c>
      <c r="CY35">
        <f>AB35</f>
        <v>1442.2</v>
      </c>
      <c r="CZ35">
        <f>AF35</f>
        <v>138.54</v>
      </c>
      <c r="DA35">
        <f>AJ35</f>
        <v>10.41</v>
      </c>
      <c r="DB35">
        <f t="shared" si="13"/>
        <v>182.87</v>
      </c>
      <c r="DC35">
        <f t="shared" si="14"/>
        <v>15.97</v>
      </c>
      <c r="DD35" t="s">
        <v>3</v>
      </c>
      <c r="DE35" t="s">
        <v>3</v>
      </c>
      <c r="DF35">
        <f t="shared" si="11"/>
        <v>0</v>
      </c>
      <c r="DG35">
        <f>ROUND(ROUND(AF35*AJ35,2)*CX35,2)</f>
        <v>1408.74</v>
      </c>
      <c r="DH35">
        <f>ROUND(ROUND(AG35*AK35,2)*CX35,2)</f>
        <v>384.24</v>
      </c>
      <c r="DI35">
        <f t="shared" si="15"/>
        <v>0</v>
      </c>
      <c r="DJ35">
        <f>DG35</f>
        <v>1408.74</v>
      </c>
      <c r="DK35">
        <v>0</v>
      </c>
      <c r="DL35" t="s">
        <v>3</v>
      </c>
      <c r="DM35">
        <v>0</v>
      </c>
      <c r="DN35" t="s">
        <v>3</v>
      </c>
      <c r="DO35">
        <v>0</v>
      </c>
    </row>
    <row r="36" spans="1:119" x14ac:dyDescent="0.2">
      <c r="A36">
        <f>ROW(Source!A33)</f>
        <v>33</v>
      </c>
      <c r="B36">
        <v>40777027</v>
      </c>
      <c r="C36">
        <v>40777222</v>
      </c>
      <c r="D36">
        <v>38685168</v>
      </c>
      <c r="E36">
        <v>1</v>
      </c>
      <c r="F36">
        <v>1</v>
      </c>
      <c r="G36">
        <v>1</v>
      </c>
      <c r="H36">
        <v>2</v>
      </c>
      <c r="I36" t="s">
        <v>361</v>
      </c>
      <c r="J36" t="s">
        <v>362</v>
      </c>
      <c r="K36" t="s">
        <v>363</v>
      </c>
      <c r="L36">
        <v>1368</v>
      </c>
      <c r="N36">
        <v>1011</v>
      </c>
      <c r="O36" t="s">
        <v>325</v>
      </c>
      <c r="P36" t="s">
        <v>325</v>
      </c>
      <c r="Q36">
        <v>1</v>
      </c>
      <c r="W36">
        <v>0</v>
      </c>
      <c r="X36">
        <v>11972859</v>
      </c>
      <c r="Y36">
        <f t="shared" si="12"/>
        <v>3.97</v>
      </c>
      <c r="AA36">
        <v>0</v>
      </c>
      <c r="AB36">
        <v>8.07</v>
      </c>
      <c r="AC36">
        <v>0</v>
      </c>
      <c r="AD36">
        <v>0</v>
      </c>
      <c r="AE36">
        <v>0</v>
      </c>
      <c r="AF36">
        <v>1.52</v>
      </c>
      <c r="AG36">
        <v>0</v>
      </c>
      <c r="AH36">
        <v>0</v>
      </c>
      <c r="AI36">
        <v>1</v>
      </c>
      <c r="AJ36">
        <v>5.31</v>
      </c>
      <c r="AK36">
        <v>32.51</v>
      </c>
      <c r="AL36">
        <v>1</v>
      </c>
      <c r="AM36">
        <v>2</v>
      </c>
      <c r="AN36">
        <v>0</v>
      </c>
      <c r="AO36">
        <v>1</v>
      </c>
      <c r="AP36">
        <v>1</v>
      </c>
      <c r="AQ36">
        <v>0</v>
      </c>
      <c r="AR36">
        <v>0</v>
      </c>
      <c r="AS36" t="s">
        <v>3</v>
      </c>
      <c r="AT36">
        <v>3.97</v>
      </c>
      <c r="AU36" t="s">
        <v>3</v>
      </c>
      <c r="AV36">
        <v>0</v>
      </c>
      <c r="AW36">
        <v>2</v>
      </c>
      <c r="AX36">
        <v>40777238</v>
      </c>
      <c r="AY36">
        <v>1</v>
      </c>
      <c r="AZ36">
        <v>0</v>
      </c>
      <c r="BA36">
        <v>36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V36">
        <v>0</v>
      </c>
      <c r="CW36">
        <f>ROUND(Y36*Source!I33,9)</f>
        <v>2.9378000000000002</v>
      </c>
      <c r="CX36">
        <f>ROUND(Y36*Source!I33,9)</f>
        <v>2.9378000000000002</v>
      </c>
      <c r="CY36">
        <f>AB36</f>
        <v>8.07</v>
      </c>
      <c r="CZ36">
        <f>AF36</f>
        <v>1.52</v>
      </c>
      <c r="DA36">
        <f>AJ36</f>
        <v>5.31</v>
      </c>
      <c r="DB36">
        <f t="shared" si="13"/>
        <v>6.03</v>
      </c>
      <c r="DC36">
        <f t="shared" si="14"/>
        <v>0</v>
      </c>
      <c r="DD36" t="s">
        <v>3</v>
      </c>
      <c r="DE36" t="s">
        <v>3</v>
      </c>
      <c r="DF36">
        <f t="shared" si="11"/>
        <v>0</v>
      </c>
      <c r="DG36">
        <f>ROUND(ROUND(AF36*AJ36,2)*CX36,2)</f>
        <v>23.71</v>
      </c>
      <c r="DH36">
        <f>ROUND(ROUND(AG36*AK36,2)*CX36,2)</f>
        <v>0</v>
      </c>
      <c r="DI36">
        <f t="shared" si="15"/>
        <v>0</v>
      </c>
      <c r="DJ36">
        <f>DG36</f>
        <v>23.71</v>
      </c>
      <c r="DK36">
        <v>0</v>
      </c>
      <c r="DL36" t="s">
        <v>3</v>
      </c>
      <c r="DM36">
        <v>0</v>
      </c>
      <c r="DN36" t="s">
        <v>3</v>
      </c>
      <c r="DO36">
        <v>0</v>
      </c>
    </row>
    <row r="37" spans="1:119" x14ac:dyDescent="0.2">
      <c r="A37">
        <f>ROW(Source!A33)</f>
        <v>33</v>
      </c>
      <c r="B37">
        <v>40777027</v>
      </c>
      <c r="C37">
        <v>40777222</v>
      </c>
      <c r="D37">
        <v>38685182</v>
      </c>
      <c r="E37">
        <v>1</v>
      </c>
      <c r="F37">
        <v>1</v>
      </c>
      <c r="G37">
        <v>1</v>
      </c>
      <c r="H37">
        <v>2</v>
      </c>
      <c r="I37" t="s">
        <v>364</v>
      </c>
      <c r="J37" t="s">
        <v>365</v>
      </c>
      <c r="K37" t="s">
        <v>366</v>
      </c>
      <c r="L37">
        <v>1368</v>
      </c>
      <c r="N37">
        <v>1011</v>
      </c>
      <c r="O37" t="s">
        <v>325</v>
      </c>
      <c r="P37" t="s">
        <v>325</v>
      </c>
      <c r="Q37">
        <v>1</v>
      </c>
      <c r="W37">
        <v>0</v>
      </c>
      <c r="X37">
        <v>-892985829</v>
      </c>
      <c r="Y37">
        <f t="shared" si="12"/>
        <v>3.97</v>
      </c>
      <c r="AA37">
        <v>0</v>
      </c>
      <c r="AB37">
        <v>37.47</v>
      </c>
      <c r="AC37">
        <v>0</v>
      </c>
      <c r="AD37">
        <v>0</v>
      </c>
      <c r="AE37">
        <v>0</v>
      </c>
      <c r="AF37">
        <v>7.11</v>
      </c>
      <c r="AG37">
        <v>0</v>
      </c>
      <c r="AH37">
        <v>0</v>
      </c>
      <c r="AI37">
        <v>1</v>
      </c>
      <c r="AJ37">
        <v>5.27</v>
      </c>
      <c r="AK37">
        <v>32.51</v>
      </c>
      <c r="AL37">
        <v>1</v>
      </c>
      <c r="AM37">
        <v>2</v>
      </c>
      <c r="AN37">
        <v>0</v>
      </c>
      <c r="AO37">
        <v>1</v>
      </c>
      <c r="AP37">
        <v>1</v>
      </c>
      <c r="AQ37">
        <v>0</v>
      </c>
      <c r="AR37">
        <v>0</v>
      </c>
      <c r="AS37" t="s">
        <v>3</v>
      </c>
      <c r="AT37">
        <v>3.97</v>
      </c>
      <c r="AU37" t="s">
        <v>3</v>
      </c>
      <c r="AV37">
        <v>0</v>
      </c>
      <c r="AW37">
        <v>2</v>
      </c>
      <c r="AX37">
        <v>40777239</v>
      </c>
      <c r="AY37">
        <v>1</v>
      </c>
      <c r="AZ37">
        <v>0</v>
      </c>
      <c r="BA37">
        <v>37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V37">
        <v>0</v>
      </c>
      <c r="CW37">
        <f>ROUND(Y37*Source!I33,9)</f>
        <v>2.9378000000000002</v>
      </c>
      <c r="CX37">
        <f>ROUND(Y37*Source!I33,9)</f>
        <v>2.9378000000000002</v>
      </c>
      <c r="CY37">
        <f>AB37</f>
        <v>37.47</v>
      </c>
      <c r="CZ37">
        <f>AF37</f>
        <v>7.11</v>
      </c>
      <c r="DA37">
        <f>AJ37</f>
        <v>5.27</v>
      </c>
      <c r="DB37">
        <f t="shared" si="13"/>
        <v>28.23</v>
      </c>
      <c r="DC37">
        <f t="shared" si="14"/>
        <v>0</v>
      </c>
      <c r="DD37" t="s">
        <v>3</v>
      </c>
      <c r="DE37" t="s">
        <v>3</v>
      </c>
      <c r="DF37">
        <f t="shared" si="11"/>
        <v>0</v>
      </c>
      <c r="DG37">
        <f>ROUND(ROUND(AF37*AJ37,2)*CX37,2)</f>
        <v>110.08</v>
      </c>
      <c r="DH37">
        <f>ROUND(ROUND(AG37*AK37,2)*CX37,2)</f>
        <v>0</v>
      </c>
      <c r="DI37">
        <f t="shared" si="15"/>
        <v>0</v>
      </c>
      <c r="DJ37">
        <f>DG37</f>
        <v>110.08</v>
      </c>
      <c r="DK37">
        <v>0</v>
      </c>
      <c r="DL37" t="s">
        <v>3</v>
      </c>
      <c r="DM37">
        <v>0</v>
      </c>
      <c r="DN37" t="s">
        <v>3</v>
      </c>
      <c r="DO37">
        <v>0</v>
      </c>
    </row>
    <row r="38" spans="1:119" x14ac:dyDescent="0.2">
      <c r="A38">
        <f>ROW(Source!A33)</f>
        <v>33</v>
      </c>
      <c r="B38">
        <v>40777027</v>
      </c>
      <c r="C38">
        <v>40777222</v>
      </c>
      <c r="D38">
        <v>38686926</v>
      </c>
      <c r="E38">
        <v>1</v>
      </c>
      <c r="F38">
        <v>1</v>
      </c>
      <c r="G38">
        <v>1</v>
      </c>
      <c r="H38">
        <v>2</v>
      </c>
      <c r="I38" t="s">
        <v>367</v>
      </c>
      <c r="J38" t="s">
        <v>368</v>
      </c>
      <c r="K38" t="s">
        <v>369</v>
      </c>
      <c r="L38">
        <v>1368</v>
      </c>
      <c r="N38">
        <v>1011</v>
      </c>
      <c r="O38" t="s">
        <v>325</v>
      </c>
      <c r="P38" t="s">
        <v>325</v>
      </c>
      <c r="Q38">
        <v>1</v>
      </c>
      <c r="W38">
        <v>0</v>
      </c>
      <c r="X38">
        <v>-671646184</v>
      </c>
      <c r="Y38">
        <f t="shared" si="12"/>
        <v>1.32</v>
      </c>
      <c r="AA38">
        <v>0</v>
      </c>
      <c r="AB38">
        <v>1271.79</v>
      </c>
      <c r="AC38">
        <v>336.48</v>
      </c>
      <c r="AD38">
        <v>0</v>
      </c>
      <c r="AE38">
        <v>0</v>
      </c>
      <c r="AF38">
        <v>91.76</v>
      </c>
      <c r="AG38">
        <v>10.35</v>
      </c>
      <c r="AH38">
        <v>0</v>
      </c>
      <c r="AI38">
        <v>1</v>
      </c>
      <c r="AJ38">
        <v>13.86</v>
      </c>
      <c r="AK38">
        <v>32.51</v>
      </c>
      <c r="AL38">
        <v>1</v>
      </c>
      <c r="AM38">
        <v>2</v>
      </c>
      <c r="AN38">
        <v>0</v>
      </c>
      <c r="AO38">
        <v>1</v>
      </c>
      <c r="AP38">
        <v>1</v>
      </c>
      <c r="AQ38">
        <v>0</v>
      </c>
      <c r="AR38">
        <v>0</v>
      </c>
      <c r="AS38" t="s">
        <v>3</v>
      </c>
      <c r="AT38">
        <v>1.32</v>
      </c>
      <c r="AU38" t="s">
        <v>3</v>
      </c>
      <c r="AV38">
        <v>0</v>
      </c>
      <c r="AW38">
        <v>2</v>
      </c>
      <c r="AX38">
        <v>40777240</v>
      </c>
      <c r="AY38">
        <v>1</v>
      </c>
      <c r="AZ38">
        <v>0</v>
      </c>
      <c r="BA38">
        <v>38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V38">
        <v>0</v>
      </c>
      <c r="CW38">
        <f>ROUND(Y38*Source!I33,9)</f>
        <v>0.9768</v>
      </c>
      <c r="CX38">
        <f>ROUND(Y38*Source!I33,9)</f>
        <v>0.9768</v>
      </c>
      <c r="CY38">
        <f>AB38</f>
        <v>1271.79</v>
      </c>
      <c r="CZ38">
        <f>AF38</f>
        <v>91.76</v>
      </c>
      <c r="DA38">
        <f>AJ38</f>
        <v>13.86</v>
      </c>
      <c r="DB38">
        <f t="shared" si="13"/>
        <v>121.12</v>
      </c>
      <c r="DC38">
        <f t="shared" si="14"/>
        <v>13.66</v>
      </c>
      <c r="DD38" t="s">
        <v>3</v>
      </c>
      <c r="DE38" t="s">
        <v>3</v>
      </c>
      <c r="DF38">
        <f t="shared" si="11"/>
        <v>0</v>
      </c>
      <c r="DG38">
        <f>ROUND(ROUND(AF38*AJ38,2)*CX38,2)</f>
        <v>1242.28</v>
      </c>
      <c r="DH38">
        <f>ROUND(ROUND(AG38*AK38,2)*CX38,2)</f>
        <v>328.67</v>
      </c>
      <c r="DI38">
        <f t="shared" si="15"/>
        <v>0</v>
      </c>
      <c r="DJ38">
        <f>DG38</f>
        <v>1242.28</v>
      </c>
      <c r="DK38">
        <v>0</v>
      </c>
      <c r="DL38" t="s">
        <v>3</v>
      </c>
      <c r="DM38">
        <v>0</v>
      </c>
      <c r="DN38" t="s">
        <v>3</v>
      </c>
      <c r="DO38">
        <v>0</v>
      </c>
    </row>
    <row r="39" spans="1:119" x14ac:dyDescent="0.2">
      <c r="A39">
        <f>ROW(Source!A33)</f>
        <v>33</v>
      </c>
      <c r="B39">
        <v>40777027</v>
      </c>
      <c r="C39">
        <v>40777222</v>
      </c>
      <c r="D39">
        <v>38626568</v>
      </c>
      <c r="E39">
        <v>1</v>
      </c>
      <c r="F39">
        <v>1</v>
      </c>
      <c r="G39">
        <v>1</v>
      </c>
      <c r="H39">
        <v>3</v>
      </c>
      <c r="I39" t="s">
        <v>380</v>
      </c>
      <c r="J39" t="s">
        <v>381</v>
      </c>
      <c r="K39" t="s">
        <v>382</v>
      </c>
      <c r="L39">
        <v>1348</v>
      </c>
      <c r="N39">
        <v>1009</v>
      </c>
      <c r="O39" t="s">
        <v>119</v>
      </c>
      <c r="P39" t="s">
        <v>119</v>
      </c>
      <c r="Q39">
        <v>1000</v>
      </c>
      <c r="W39">
        <v>0</v>
      </c>
      <c r="X39">
        <v>-362657570</v>
      </c>
      <c r="Y39">
        <f t="shared" ref="Y39:Y44" si="16">(AT39*0)</f>
        <v>0</v>
      </c>
      <c r="AA39">
        <v>83031.58</v>
      </c>
      <c r="AB39">
        <v>0</v>
      </c>
      <c r="AC39">
        <v>0</v>
      </c>
      <c r="AD39">
        <v>0</v>
      </c>
      <c r="AE39">
        <v>6074</v>
      </c>
      <c r="AF39">
        <v>0</v>
      </c>
      <c r="AG39">
        <v>0</v>
      </c>
      <c r="AH39">
        <v>0</v>
      </c>
      <c r="AI39">
        <v>13.67</v>
      </c>
      <c r="AJ39">
        <v>1</v>
      </c>
      <c r="AK39">
        <v>1</v>
      </c>
      <c r="AL39">
        <v>1</v>
      </c>
      <c r="AM39">
        <v>2</v>
      </c>
      <c r="AN39">
        <v>0</v>
      </c>
      <c r="AO39">
        <v>1</v>
      </c>
      <c r="AP39">
        <v>1</v>
      </c>
      <c r="AQ39">
        <v>0</v>
      </c>
      <c r="AR39">
        <v>0</v>
      </c>
      <c r="AS39" t="s">
        <v>3</v>
      </c>
      <c r="AT39">
        <v>0.01</v>
      </c>
      <c r="AU39" t="s">
        <v>19</v>
      </c>
      <c r="AV39">
        <v>0</v>
      </c>
      <c r="AW39">
        <v>2</v>
      </c>
      <c r="AX39">
        <v>40777241</v>
      </c>
      <c r="AY39">
        <v>1</v>
      </c>
      <c r="AZ39">
        <v>0</v>
      </c>
      <c r="BA39">
        <v>39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V39">
        <v>0</v>
      </c>
      <c r="CW39">
        <v>0</v>
      </c>
      <c r="CX39">
        <f>ROUND(Y39*Source!I33,9)</f>
        <v>0</v>
      </c>
      <c r="CY39">
        <f t="shared" ref="CY39:CY44" si="17">AA39</f>
        <v>83031.58</v>
      </c>
      <c r="CZ39">
        <f t="shared" ref="CZ39:CZ44" si="18">AE39</f>
        <v>6074</v>
      </c>
      <c r="DA39">
        <f t="shared" ref="DA39:DA44" si="19">AI39</f>
        <v>13.67</v>
      </c>
      <c r="DB39">
        <f t="shared" ref="DB39:DB44" si="20">ROUND((ROUND(AT39*CZ39,2)*0),2)</f>
        <v>0</v>
      </c>
      <c r="DC39">
        <f t="shared" ref="DC39:DC44" si="21">ROUND((ROUND(AT39*AG39,2)*0),2)</f>
        <v>0</v>
      </c>
      <c r="DD39" t="s">
        <v>3</v>
      </c>
      <c r="DE39" t="s">
        <v>3</v>
      </c>
      <c r="DF39">
        <f>ROUND(ROUND(AE39*AI39,2)*CX39,2)</f>
        <v>0</v>
      </c>
      <c r="DG39">
        <f t="shared" ref="DG39:DG46" si="22">ROUND(ROUND(AF39,2)*CX39,2)</f>
        <v>0</v>
      </c>
      <c r="DH39">
        <f t="shared" ref="DH39:DH46" si="23">ROUND(ROUND(AG39,2)*CX39,2)</f>
        <v>0</v>
      </c>
      <c r="DI39">
        <f t="shared" si="15"/>
        <v>0</v>
      </c>
      <c r="DJ39">
        <f t="shared" ref="DJ39:DJ44" si="24">DF39</f>
        <v>0</v>
      </c>
      <c r="DK39">
        <v>0</v>
      </c>
      <c r="DL39" t="s">
        <v>3</v>
      </c>
      <c r="DM39">
        <v>0</v>
      </c>
      <c r="DN39" t="s">
        <v>3</v>
      </c>
      <c r="DO39">
        <v>0</v>
      </c>
    </row>
    <row r="40" spans="1:119" x14ac:dyDescent="0.2">
      <c r="A40">
        <f>ROW(Source!A33)</f>
        <v>33</v>
      </c>
      <c r="B40">
        <v>40777027</v>
      </c>
      <c r="C40">
        <v>40777222</v>
      </c>
      <c r="D40">
        <v>38626603</v>
      </c>
      <c r="E40">
        <v>1</v>
      </c>
      <c r="F40">
        <v>1</v>
      </c>
      <c r="G40">
        <v>1</v>
      </c>
      <c r="H40">
        <v>3</v>
      </c>
      <c r="I40" t="s">
        <v>383</v>
      </c>
      <c r="J40" t="s">
        <v>384</v>
      </c>
      <c r="K40" t="s">
        <v>385</v>
      </c>
      <c r="L40">
        <v>1348</v>
      </c>
      <c r="N40">
        <v>1009</v>
      </c>
      <c r="O40" t="s">
        <v>119</v>
      </c>
      <c r="P40" t="s">
        <v>119</v>
      </c>
      <c r="Q40">
        <v>1000</v>
      </c>
      <c r="W40">
        <v>0</v>
      </c>
      <c r="X40">
        <v>-334495255</v>
      </c>
      <c r="Y40">
        <f t="shared" si="16"/>
        <v>0</v>
      </c>
      <c r="AA40">
        <v>75308.3</v>
      </c>
      <c r="AB40">
        <v>0</v>
      </c>
      <c r="AC40">
        <v>0</v>
      </c>
      <c r="AD40">
        <v>0</v>
      </c>
      <c r="AE40">
        <v>5270</v>
      </c>
      <c r="AF40">
        <v>0</v>
      </c>
      <c r="AG40">
        <v>0</v>
      </c>
      <c r="AH40">
        <v>0</v>
      </c>
      <c r="AI40">
        <v>14.29</v>
      </c>
      <c r="AJ40">
        <v>1</v>
      </c>
      <c r="AK40">
        <v>1</v>
      </c>
      <c r="AL40">
        <v>1</v>
      </c>
      <c r="AM40">
        <v>2</v>
      </c>
      <c r="AN40">
        <v>0</v>
      </c>
      <c r="AO40">
        <v>1</v>
      </c>
      <c r="AP40">
        <v>1</v>
      </c>
      <c r="AQ40">
        <v>0</v>
      </c>
      <c r="AR40">
        <v>0</v>
      </c>
      <c r="AS40" t="s">
        <v>3</v>
      </c>
      <c r="AT40">
        <v>1E-3</v>
      </c>
      <c r="AU40" t="s">
        <v>19</v>
      </c>
      <c r="AV40">
        <v>0</v>
      </c>
      <c r="AW40">
        <v>2</v>
      </c>
      <c r="AX40">
        <v>40777242</v>
      </c>
      <c r="AY40">
        <v>1</v>
      </c>
      <c r="AZ40">
        <v>0</v>
      </c>
      <c r="BA40">
        <v>40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V40">
        <v>0</v>
      </c>
      <c r="CW40">
        <v>0</v>
      </c>
      <c r="CX40">
        <f>ROUND(Y40*Source!I33,9)</f>
        <v>0</v>
      </c>
      <c r="CY40">
        <f t="shared" si="17"/>
        <v>75308.3</v>
      </c>
      <c r="CZ40">
        <f t="shared" si="18"/>
        <v>5270</v>
      </c>
      <c r="DA40">
        <f t="shared" si="19"/>
        <v>14.29</v>
      </c>
      <c r="DB40">
        <f t="shared" si="20"/>
        <v>0</v>
      </c>
      <c r="DC40">
        <f t="shared" si="21"/>
        <v>0</v>
      </c>
      <c r="DD40" t="s">
        <v>3</v>
      </c>
      <c r="DE40" t="s">
        <v>3</v>
      </c>
      <c r="DF40">
        <f>ROUND(ROUND(AE40*AI40,2)*CX40,2)</f>
        <v>0</v>
      </c>
      <c r="DG40">
        <f t="shared" si="22"/>
        <v>0</v>
      </c>
      <c r="DH40">
        <f t="shared" si="23"/>
        <v>0</v>
      </c>
      <c r="DI40">
        <f t="shared" si="15"/>
        <v>0</v>
      </c>
      <c r="DJ40">
        <f t="shared" si="24"/>
        <v>0</v>
      </c>
      <c r="DK40">
        <v>0</v>
      </c>
      <c r="DL40" t="s">
        <v>3</v>
      </c>
      <c r="DM40">
        <v>0</v>
      </c>
      <c r="DN40" t="s">
        <v>3</v>
      </c>
      <c r="DO40">
        <v>0</v>
      </c>
    </row>
    <row r="41" spans="1:119" x14ac:dyDescent="0.2">
      <c r="A41">
        <f>ROW(Source!A33)</f>
        <v>33</v>
      </c>
      <c r="B41">
        <v>40777027</v>
      </c>
      <c r="C41">
        <v>40777222</v>
      </c>
      <c r="D41">
        <v>38623533</v>
      </c>
      <c r="E41">
        <v>1</v>
      </c>
      <c r="F41">
        <v>1</v>
      </c>
      <c r="G41">
        <v>1</v>
      </c>
      <c r="H41">
        <v>3</v>
      </c>
      <c r="I41" t="s">
        <v>386</v>
      </c>
      <c r="J41" t="s">
        <v>387</v>
      </c>
      <c r="K41" t="s">
        <v>388</v>
      </c>
      <c r="L41">
        <v>1346</v>
      </c>
      <c r="N41">
        <v>1009</v>
      </c>
      <c r="O41" t="s">
        <v>141</v>
      </c>
      <c r="P41" t="s">
        <v>141</v>
      </c>
      <c r="Q41">
        <v>1</v>
      </c>
      <c r="W41">
        <v>0</v>
      </c>
      <c r="X41">
        <v>1831350124</v>
      </c>
      <c r="Y41">
        <f t="shared" si="16"/>
        <v>0</v>
      </c>
      <c r="AA41">
        <v>130.97</v>
      </c>
      <c r="AB41">
        <v>0</v>
      </c>
      <c r="AC41">
        <v>0</v>
      </c>
      <c r="AD41">
        <v>0</v>
      </c>
      <c r="AE41">
        <v>29.04</v>
      </c>
      <c r="AF41">
        <v>0</v>
      </c>
      <c r="AG41">
        <v>0</v>
      </c>
      <c r="AH41">
        <v>0</v>
      </c>
      <c r="AI41">
        <v>4.51</v>
      </c>
      <c r="AJ41">
        <v>1</v>
      </c>
      <c r="AK41">
        <v>1</v>
      </c>
      <c r="AL41">
        <v>1</v>
      </c>
      <c r="AM41">
        <v>2</v>
      </c>
      <c r="AN41">
        <v>0</v>
      </c>
      <c r="AO41">
        <v>1</v>
      </c>
      <c r="AP41">
        <v>1</v>
      </c>
      <c r="AQ41">
        <v>0</v>
      </c>
      <c r="AR41">
        <v>0</v>
      </c>
      <c r="AS41" t="s">
        <v>3</v>
      </c>
      <c r="AT41">
        <v>0.25</v>
      </c>
      <c r="AU41" t="s">
        <v>19</v>
      </c>
      <c r="AV41">
        <v>0</v>
      </c>
      <c r="AW41">
        <v>2</v>
      </c>
      <c r="AX41">
        <v>40777243</v>
      </c>
      <c r="AY41">
        <v>1</v>
      </c>
      <c r="AZ41">
        <v>0</v>
      </c>
      <c r="BA41">
        <v>41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V41">
        <v>0</v>
      </c>
      <c r="CW41">
        <v>0</v>
      </c>
      <c r="CX41">
        <f>ROUND(Y41*Source!I33,9)</f>
        <v>0</v>
      </c>
      <c r="CY41">
        <f t="shared" si="17"/>
        <v>130.97</v>
      </c>
      <c r="CZ41">
        <f t="shared" si="18"/>
        <v>29.04</v>
      </c>
      <c r="DA41">
        <f t="shared" si="19"/>
        <v>4.51</v>
      </c>
      <c r="DB41">
        <f t="shared" si="20"/>
        <v>0</v>
      </c>
      <c r="DC41">
        <f t="shared" si="21"/>
        <v>0</v>
      </c>
      <c r="DD41" t="s">
        <v>3</v>
      </c>
      <c r="DE41" t="s">
        <v>3</v>
      </c>
      <c r="DF41">
        <f>ROUND(ROUND(AE41*AI41,2)*CX41,2)</f>
        <v>0</v>
      </c>
      <c r="DG41">
        <f t="shared" si="22"/>
        <v>0</v>
      </c>
      <c r="DH41">
        <f t="shared" si="23"/>
        <v>0</v>
      </c>
      <c r="DI41">
        <f t="shared" si="15"/>
        <v>0</v>
      </c>
      <c r="DJ41">
        <f t="shared" si="24"/>
        <v>0</v>
      </c>
      <c r="DK41">
        <v>0</v>
      </c>
      <c r="DL41" t="s">
        <v>3</v>
      </c>
      <c r="DM41">
        <v>0</v>
      </c>
      <c r="DN41" t="s">
        <v>3</v>
      </c>
      <c r="DO41">
        <v>0</v>
      </c>
    </row>
    <row r="42" spans="1:119" x14ac:dyDescent="0.2">
      <c r="A42">
        <f>ROW(Source!A33)</f>
        <v>33</v>
      </c>
      <c r="B42">
        <v>40777027</v>
      </c>
      <c r="C42">
        <v>40777222</v>
      </c>
      <c r="D42">
        <v>38623941</v>
      </c>
      <c r="E42">
        <v>1</v>
      </c>
      <c r="F42">
        <v>1</v>
      </c>
      <c r="G42">
        <v>1</v>
      </c>
      <c r="H42">
        <v>3</v>
      </c>
      <c r="I42" t="s">
        <v>370</v>
      </c>
      <c r="J42" t="s">
        <v>371</v>
      </c>
      <c r="K42" t="s">
        <v>372</v>
      </c>
      <c r="L42">
        <v>1308</v>
      </c>
      <c r="N42">
        <v>1003</v>
      </c>
      <c r="O42" t="s">
        <v>373</v>
      </c>
      <c r="P42" t="s">
        <v>373</v>
      </c>
      <c r="Q42">
        <v>100</v>
      </c>
      <c r="W42">
        <v>0</v>
      </c>
      <c r="X42">
        <v>-737867663</v>
      </c>
      <c r="Y42">
        <f t="shared" si="16"/>
        <v>0</v>
      </c>
      <c r="AA42">
        <v>767.34</v>
      </c>
      <c r="AB42">
        <v>0</v>
      </c>
      <c r="AC42">
        <v>0</v>
      </c>
      <c r="AD42">
        <v>0</v>
      </c>
      <c r="AE42">
        <v>121.8</v>
      </c>
      <c r="AF42">
        <v>0</v>
      </c>
      <c r="AG42">
        <v>0</v>
      </c>
      <c r="AH42">
        <v>0</v>
      </c>
      <c r="AI42">
        <v>6.3</v>
      </c>
      <c r="AJ42">
        <v>1</v>
      </c>
      <c r="AK42">
        <v>1</v>
      </c>
      <c r="AL42">
        <v>1</v>
      </c>
      <c r="AM42">
        <v>2</v>
      </c>
      <c r="AN42">
        <v>0</v>
      </c>
      <c r="AO42">
        <v>1</v>
      </c>
      <c r="AP42">
        <v>1</v>
      </c>
      <c r="AQ42">
        <v>0</v>
      </c>
      <c r="AR42">
        <v>0</v>
      </c>
      <c r="AS42" t="s">
        <v>3</v>
      </c>
      <c r="AT42">
        <v>9.5999999999999992E-3</v>
      </c>
      <c r="AU42" t="s">
        <v>19</v>
      </c>
      <c r="AV42">
        <v>0</v>
      </c>
      <c r="AW42">
        <v>2</v>
      </c>
      <c r="AX42">
        <v>40777244</v>
      </c>
      <c r="AY42">
        <v>1</v>
      </c>
      <c r="AZ42">
        <v>0</v>
      </c>
      <c r="BA42">
        <v>42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V42">
        <v>0</v>
      </c>
      <c r="CW42">
        <v>0</v>
      </c>
      <c r="CX42">
        <f>ROUND(Y42*Source!I33,9)</f>
        <v>0</v>
      </c>
      <c r="CY42">
        <f t="shared" si="17"/>
        <v>767.34</v>
      </c>
      <c r="CZ42">
        <f t="shared" si="18"/>
        <v>121.8</v>
      </c>
      <c r="DA42">
        <f t="shared" si="19"/>
        <v>6.3</v>
      </c>
      <c r="DB42">
        <f t="shared" si="20"/>
        <v>0</v>
      </c>
      <c r="DC42">
        <f t="shared" si="21"/>
        <v>0</v>
      </c>
      <c r="DD42" t="s">
        <v>3</v>
      </c>
      <c r="DE42" t="s">
        <v>3</v>
      </c>
      <c r="DF42">
        <f>ROUND(ROUND(AE42*AI42,2)*CX42,2)</f>
        <v>0</v>
      </c>
      <c r="DG42">
        <f t="shared" si="22"/>
        <v>0</v>
      </c>
      <c r="DH42">
        <f t="shared" si="23"/>
        <v>0</v>
      </c>
      <c r="DI42">
        <f t="shared" si="15"/>
        <v>0</v>
      </c>
      <c r="DJ42">
        <f t="shared" si="24"/>
        <v>0</v>
      </c>
      <c r="DK42">
        <v>0</v>
      </c>
      <c r="DL42" t="s">
        <v>3</v>
      </c>
      <c r="DM42">
        <v>0</v>
      </c>
      <c r="DN42" t="s">
        <v>3</v>
      </c>
      <c r="DO42">
        <v>0</v>
      </c>
    </row>
    <row r="43" spans="1:119" x14ac:dyDescent="0.2">
      <c r="A43">
        <f>ROW(Source!A33)</f>
        <v>33</v>
      </c>
      <c r="B43">
        <v>40777027</v>
      </c>
      <c r="C43">
        <v>40777222</v>
      </c>
      <c r="D43">
        <v>38634896</v>
      </c>
      <c r="E43">
        <v>1</v>
      </c>
      <c r="F43">
        <v>1</v>
      </c>
      <c r="G43">
        <v>1</v>
      </c>
      <c r="H43">
        <v>3</v>
      </c>
      <c r="I43" t="s">
        <v>374</v>
      </c>
      <c r="J43" t="s">
        <v>375</v>
      </c>
      <c r="K43" t="s">
        <v>376</v>
      </c>
      <c r="L43">
        <v>1348</v>
      </c>
      <c r="N43">
        <v>1009</v>
      </c>
      <c r="O43" t="s">
        <v>119</v>
      </c>
      <c r="P43" t="s">
        <v>119</v>
      </c>
      <c r="Q43">
        <v>1000</v>
      </c>
      <c r="W43">
        <v>0</v>
      </c>
      <c r="X43">
        <v>-1286039561</v>
      </c>
      <c r="Y43">
        <f t="shared" si="16"/>
        <v>0</v>
      </c>
      <c r="AA43">
        <v>77557.919999999998</v>
      </c>
      <c r="AB43">
        <v>0</v>
      </c>
      <c r="AC43">
        <v>0</v>
      </c>
      <c r="AD43">
        <v>0</v>
      </c>
      <c r="AE43">
        <v>9528</v>
      </c>
      <c r="AF43">
        <v>0</v>
      </c>
      <c r="AG43">
        <v>0</v>
      </c>
      <c r="AH43">
        <v>0</v>
      </c>
      <c r="AI43">
        <v>8.14</v>
      </c>
      <c r="AJ43">
        <v>1</v>
      </c>
      <c r="AK43">
        <v>1</v>
      </c>
      <c r="AL43">
        <v>1</v>
      </c>
      <c r="AM43">
        <v>2</v>
      </c>
      <c r="AN43">
        <v>0</v>
      </c>
      <c r="AO43">
        <v>1</v>
      </c>
      <c r="AP43">
        <v>1</v>
      </c>
      <c r="AQ43">
        <v>0</v>
      </c>
      <c r="AR43">
        <v>0</v>
      </c>
      <c r="AS43" t="s">
        <v>3</v>
      </c>
      <c r="AT43">
        <v>6.0000000000000002E-5</v>
      </c>
      <c r="AU43" t="s">
        <v>19</v>
      </c>
      <c r="AV43">
        <v>0</v>
      </c>
      <c r="AW43">
        <v>2</v>
      </c>
      <c r="AX43">
        <v>40777245</v>
      </c>
      <c r="AY43">
        <v>1</v>
      </c>
      <c r="AZ43">
        <v>0</v>
      </c>
      <c r="BA43">
        <v>43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V43">
        <v>0</v>
      </c>
      <c r="CW43">
        <v>0</v>
      </c>
      <c r="CX43">
        <f>ROUND(Y43*Source!I33,9)</f>
        <v>0</v>
      </c>
      <c r="CY43">
        <f t="shared" si="17"/>
        <v>77557.919999999998</v>
      </c>
      <c r="CZ43">
        <f t="shared" si="18"/>
        <v>9528</v>
      </c>
      <c r="DA43">
        <f t="shared" si="19"/>
        <v>8.14</v>
      </c>
      <c r="DB43">
        <f t="shared" si="20"/>
        <v>0</v>
      </c>
      <c r="DC43">
        <f t="shared" si="21"/>
        <v>0</v>
      </c>
      <c r="DD43" t="s">
        <v>3</v>
      </c>
      <c r="DE43" t="s">
        <v>3</v>
      </c>
      <c r="DF43">
        <f>ROUND(ROUND(AE43*AI43,2)*CX43,2)</f>
        <v>0</v>
      </c>
      <c r="DG43">
        <f t="shared" si="22"/>
        <v>0</v>
      </c>
      <c r="DH43">
        <f t="shared" si="23"/>
        <v>0</v>
      </c>
      <c r="DI43">
        <f t="shared" si="15"/>
        <v>0</v>
      </c>
      <c r="DJ43">
        <f t="shared" si="24"/>
        <v>0</v>
      </c>
      <c r="DK43">
        <v>0</v>
      </c>
      <c r="DL43" t="s">
        <v>3</v>
      </c>
      <c r="DM43">
        <v>0</v>
      </c>
      <c r="DN43" t="s">
        <v>3</v>
      </c>
      <c r="DO43">
        <v>0</v>
      </c>
    </row>
    <row r="44" spans="1:119" x14ac:dyDescent="0.2">
      <c r="A44">
        <f>ROW(Source!A33)</f>
        <v>33</v>
      </c>
      <c r="B44">
        <v>40777027</v>
      </c>
      <c r="C44">
        <v>40777222</v>
      </c>
      <c r="D44">
        <v>38684560</v>
      </c>
      <c r="E44">
        <v>1</v>
      </c>
      <c r="F44">
        <v>1</v>
      </c>
      <c r="G44">
        <v>1</v>
      </c>
      <c r="H44">
        <v>3</v>
      </c>
      <c r="I44" t="s">
        <v>354</v>
      </c>
      <c r="J44" t="s">
        <v>355</v>
      </c>
      <c r="K44" t="s">
        <v>356</v>
      </c>
      <c r="L44">
        <v>1374</v>
      </c>
      <c r="N44">
        <v>1013</v>
      </c>
      <c r="O44" t="s">
        <v>357</v>
      </c>
      <c r="P44" t="s">
        <v>357</v>
      </c>
      <c r="Q44">
        <v>1</v>
      </c>
      <c r="W44">
        <v>0</v>
      </c>
      <c r="X44">
        <v>2131831278</v>
      </c>
      <c r="Y44">
        <f t="shared" si="16"/>
        <v>0</v>
      </c>
      <c r="AA44">
        <v>1</v>
      </c>
      <c r="AB44">
        <v>0</v>
      </c>
      <c r="AC44">
        <v>0</v>
      </c>
      <c r="AD44">
        <v>0</v>
      </c>
      <c r="AE44">
        <v>1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</v>
      </c>
      <c r="AL44">
        <v>1</v>
      </c>
      <c r="AM44">
        <v>-2</v>
      </c>
      <c r="AN44">
        <v>0</v>
      </c>
      <c r="AO44">
        <v>1</v>
      </c>
      <c r="AP44">
        <v>1</v>
      </c>
      <c r="AQ44">
        <v>0</v>
      </c>
      <c r="AR44">
        <v>0</v>
      </c>
      <c r="AS44" t="s">
        <v>3</v>
      </c>
      <c r="AT44">
        <v>3.14</v>
      </c>
      <c r="AU44" t="s">
        <v>19</v>
      </c>
      <c r="AV44">
        <v>0</v>
      </c>
      <c r="AW44">
        <v>2</v>
      </c>
      <c r="AX44">
        <v>40777246</v>
      </c>
      <c r="AY44">
        <v>1</v>
      </c>
      <c r="AZ44">
        <v>0</v>
      </c>
      <c r="BA44">
        <v>44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V44">
        <v>0</v>
      </c>
      <c r="CW44">
        <v>0</v>
      </c>
      <c r="CX44">
        <f>ROUND(Y44*Source!I33,9)</f>
        <v>0</v>
      </c>
      <c r="CY44">
        <f t="shared" si="17"/>
        <v>1</v>
      </c>
      <c r="CZ44">
        <f t="shared" si="18"/>
        <v>1</v>
      </c>
      <c r="DA44">
        <f t="shared" si="19"/>
        <v>1</v>
      </c>
      <c r="DB44">
        <f t="shared" si="20"/>
        <v>0</v>
      </c>
      <c r="DC44">
        <f t="shared" si="21"/>
        <v>0</v>
      </c>
      <c r="DD44" t="s">
        <v>3</v>
      </c>
      <c r="DE44" t="s">
        <v>3</v>
      </c>
      <c r="DF44">
        <f t="shared" ref="DF44:DF61" si="25">ROUND(ROUND(AE44,2)*CX44,2)</f>
        <v>0</v>
      </c>
      <c r="DG44">
        <f t="shared" si="22"/>
        <v>0</v>
      </c>
      <c r="DH44">
        <f t="shared" si="23"/>
        <v>0</v>
      </c>
      <c r="DI44">
        <f t="shared" si="15"/>
        <v>0</v>
      </c>
      <c r="DJ44">
        <f t="shared" si="24"/>
        <v>0</v>
      </c>
      <c r="DK44">
        <v>0</v>
      </c>
      <c r="DL44" t="s">
        <v>3</v>
      </c>
      <c r="DM44">
        <v>0</v>
      </c>
      <c r="DN44" t="s">
        <v>3</v>
      </c>
      <c r="DO44">
        <v>0</v>
      </c>
    </row>
    <row r="45" spans="1:119" x14ac:dyDescent="0.2">
      <c r="A45">
        <f>ROW(Source!A34)</f>
        <v>34</v>
      </c>
      <c r="B45">
        <v>40777027</v>
      </c>
      <c r="C45">
        <v>40777247</v>
      </c>
      <c r="D45">
        <v>23351395</v>
      </c>
      <c r="E45">
        <v>1</v>
      </c>
      <c r="F45">
        <v>1</v>
      </c>
      <c r="G45">
        <v>1</v>
      </c>
      <c r="H45">
        <v>1</v>
      </c>
      <c r="I45" t="s">
        <v>343</v>
      </c>
      <c r="J45" t="s">
        <v>3</v>
      </c>
      <c r="K45" t="s">
        <v>344</v>
      </c>
      <c r="L45">
        <v>1369</v>
      </c>
      <c r="N45">
        <v>1013</v>
      </c>
      <c r="O45" t="s">
        <v>319</v>
      </c>
      <c r="P45" t="s">
        <v>319</v>
      </c>
      <c r="Q45">
        <v>1</v>
      </c>
      <c r="W45">
        <v>0</v>
      </c>
      <c r="X45">
        <v>1072260845</v>
      </c>
      <c r="Y45">
        <f>AT45</f>
        <v>5.21</v>
      </c>
      <c r="AA45">
        <v>0</v>
      </c>
      <c r="AB45">
        <v>0</v>
      </c>
      <c r="AC45">
        <v>0</v>
      </c>
      <c r="AD45">
        <v>8.99</v>
      </c>
      <c r="AE45">
        <v>0</v>
      </c>
      <c r="AF45">
        <v>0</v>
      </c>
      <c r="AG45">
        <v>0</v>
      </c>
      <c r="AH45">
        <v>8.99</v>
      </c>
      <c r="AI45">
        <v>1</v>
      </c>
      <c r="AJ45">
        <v>1</v>
      </c>
      <c r="AK45">
        <v>1</v>
      </c>
      <c r="AL45">
        <v>1</v>
      </c>
      <c r="AM45">
        <v>-2</v>
      </c>
      <c r="AN45">
        <v>0</v>
      </c>
      <c r="AO45">
        <v>1</v>
      </c>
      <c r="AP45">
        <v>1</v>
      </c>
      <c r="AQ45">
        <v>0</v>
      </c>
      <c r="AR45">
        <v>0</v>
      </c>
      <c r="AS45" t="s">
        <v>3</v>
      </c>
      <c r="AT45">
        <v>5.21</v>
      </c>
      <c r="AU45" t="s">
        <v>3</v>
      </c>
      <c r="AV45">
        <v>1</v>
      </c>
      <c r="AW45">
        <v>2</v>
      </c>
      <c r="AX45">
        <v>40777253</v>
      </c>
      <c r="AY45">
        <v>1</v>
      </c>
      <c r="AZ45">
        <v>0</v>
      </c>
      <c r="BA45">
        <v>45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U45">
        <f>ROUND(AT45*Source!I34*AH45*AL45,2)</f>
        <v>17.329999999999998</v>
      </c>
      <c r="CV45">
        <f>ROUND(Y45*Source!I34,9)</f>
        <v>1.9277</v>
      </c>
      <c r="CW45">
        <v>0</v>
      </c>
      <c r="CX45">
        <f>ROUND(Y45*Source!I34,9)</f>
        <v>1.9277</v>
      </c>
      <c r="CY45">
        <f>AD45</f>
        <v>8.99</v>
      </c>
      <c r="CZ45">
        <f>AH45</f>
        <v>8.99</v>
      </c>
      <c r="DA45">
        <f>AL45</f>
        <v>1</v>
      </c>
      <c r="DB45">
        <f>ROUND(ROUND(AT45*CZ45,2),2)</f>
        <v>46.84</v>
      </c>
      <c r="DC45">
        <f>ROUND(ROUND(AT45*AG45,2),2)</f>
        <v>0</v>
      </c>
      <c r="DD45" t="s">
        <v>3</v>
      </c>
      <c r="DE45" t="s">
        <v>3</v>
      </c>
      <c r="DF45">
        <f t="shared" si="25"/>
        <v>0</v>
      </c>
      <c r="DG45">
        <f t="shared" si="22"/>
        <v>0</v>
      </c>
      <c r="DH45">
        <f t="shared" si="23"/>
        <v>0</v>
      </c>
      <c r="DI45">
        <f t="shared" si="15"/>
        <v>17.329999999999998</v>
      </c>
      <c r="DJ45">
        <f>DI45</f>
        <v>17.329999999999998</v>
      </c>
      <c r="DK45">
        <v>0</v>
      </c>
      <c r="DL45" t="s">
        <v>3</v>
      </c>
      <c r="DM45">
        <v>0</v>
      </c>
      <c r="DN45" t="s">
        <v>3</v>
      </c>
      <c r="DO45">
        <v>0</v>
      </c>
    </row>
    <row r="46" spans="1:119" x14ac:dyDescent="0.2">
      <c r="A46">
        <f>ROW(Source!A34)</f>
        <v>34</v>
      </c>
      <c r="B46">
        <v>40777027</v>
      </c>
      <c r="C46">
        <v>40777247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26</v>
      </c>
      <c r="J46" t="s">
        <v>3</v>
      </c>
      <c r="K46" t="s">
        <v>320</v>
      </c>
      <c r="L46">
        <v>608254</v>
      </c>
      <c r="N46">
        <v>1013</v>
      </c>
      <c r="O46" t="s">
        <v>321</v>
      </c>
      <c r="P46" t="s">
        <v>321</v>
      </c>
      <c r="Q46">
        <v>1</v>
      </c>
      <c r="W46">
        <v>0</v>
      </c>
      <c r="X46">
        <v>-185737400</v>
      </c>
      <c r="Y46">
        <f>AT46</f>
        <v>1.73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1</v>
      </c>
      <c r="AJ46">
        <v>1</v>
      </c>
      <c r="AK46">
        <v>1</v>
      </c>
      <c r="AL46">
        <v>1</v>
      </c>
      <c r="AM46">
        <v>-2</v>
      </c>
      <c r="AN46">
        <v>0</v>
      </c>
      <c r="AO46">
        <v>1</v>
      </c>
      <c r="AP46">
        <v>1</v>
      </c>
      <c r="AQ46">
        <v>0</v>
      </c>
      <c r="AR46">
        <v>0</v>
      </c>
      <c r="AS46" t="s">
        <v>3</v>
      </c>
      <c r="AT46">
        <v>1.73</v>
      </c>
      <c r="AU46" t="s">
        <v>3</v>
      </c>
      <c r="AV46">
        <v>2</v>
      </c>
      <c r="AW46">
        <v>2</v>
      </c>
      <c r="AX46">
        <v>40777254</v>
      </c>
      <c r="AY46">
        <v>1</v>
      </c>
      <c r="AZ46">
        <v>0</v>
      </c>
      <c r="BA46">
        <v>46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V46">
        <v>0</v>
      </c>
      <c r="CW46">
        <v>0</v>
      </c>
      <c r="CX46">
        <f>ROUND(Y46*Source!I34,9)</f>
        <v>0.6401</v>
      </c>
      <c r="CY46">
        <f>AD46</f>
        <v>0</v>
      </c>
      <c r="CZ46">
        <f>AH46</f>
        <v>0</v>
      </c>
      <c r="DA46">
        <f>AL46</f>
        <v>1</v>
      </c>
      <c r="DB46">
        <f>ROUND(ROUND(AT46*CZ46,2),2)</f>
        <v>0</v>
      </c>
      <c r="DC46">
        <f>ROUND(ROUND(AT46*AG46,2),2)</f>
        <v>0</v>
      </c>
      <c r="DD46" t="s">
        <v>3</v>
      </c>
      <c r="DE46" t="s">
        <v>3</v>
      </c>
      <c r="DF46">
        <f t="shared" si="25"/>
        <v>0</v>
      </c>
      <c r="DG46">
        <f t="shared" si="22"/>
        <v>0</v>
      </c>
      <c r="DH46">
        <f t="shared" si="23"/>
        <v>0</v>
      </c>
      <c r="DI46">
        <f t="shared" si="15"/>
        <v>0</v>
      </c>
      <c r="DJ46">
        <f>DI46</f>
        <v>0</v>
      </c>
      <c r="DK46">
        <v>0</v>
      </c>
      <c r="DL46" t="s">
        <v>3</v>
      </c>
      <c r="DM46">
        <v>0</v>
      </c>
      <c r="DN46" t="s">
        <v>3</v>
      </c>
      <c r="DO46">
        <v>0</v>
      </c>
    </row>
    <row r="47" spans="1:119" x14ac:dyDescent="0.2">
      <c r="A47">
        <f>ROW(Source!A34)</f>
        <v>34</v>
      </c>
      <c r="B47">
        <v>40777027</v>
      </c>
      <c r="C47">
        <v>40777247</v>
      </c>
      <c r="D47">
        <v>38685072</v>
      </c>
      <c r="E47">
        <v>1</v>
      </c>
      <c r="F47">
        <v>1</v>
      </c>
      <c r="G47">
        <v>1</v>
      </c>
      <c r="H47">
        <v>2</v>
      </c>
      <c r="I47" t="s">
        <v>358</v>
      </c>
      <c r="J47" t="s">
        <v>359</v>
      </c>
      <c r="K47" t="s">
        <v>360</v>
      </c>
      <c r="L47">
        <v>1368</v>
      </c>
      <c r="N47">
        <v>1011</v>
      </c>
      <c r="O47" t="s">
        <v>325</v>
      </c>
      <c r="P47" t="s">
        <v>325</v>
      </c>
      <c r="Q47">
        <v>1</v>
      </c>
      <c r="W47">
        <v>0</v>
      </c>
      <c r="X47">
        <v>-1424728221</v>
      </c>
      <c r="Y47">
        <f>AT47</f>
        <v>1.73</v>
      </c>
      <c r="AA47">
        <v>0</v>
      </c>
      <c r="AB47">
        <v>1442.2</v>
      </c>
      <c r="AC47">
        <v>393.37</v>
      </c>
      <c r="AD47">
        <v>0</v>
      </c>
      <c r="AE47">
        <v>0</v>
      </c>
      <c r="AF47">
        <v>138.54</v>
      </c>
      <c r="AG47">
        <v>12.1</v>
      </c>
      <c r="AH47">
        <v>0</v>
      </c>
      <c r="AI47">
        <v>1</v>
      </c>
      <c r="AJ47">
        <v>10.41</v>
      </c>
      <c r="AK47">
        <v>32.51</v>
      </c>
      <c r="AL47">
        <v>1</v>
      </c>
      <c r="AM47">
        <v>2</v>
      </c>
      <c r="AN47">
        <v>0</v>
      </c>
      <c r="AO47">
        <v>1</v>
      </c>
      <c r="AP47">
        <v>1</v>
      </c>
      <c r="AQ47">
        <v>0</v>
      </c>
      <c r="AR47">
        <v>0</v>
      </c>
      <c r="AS47" t="s">
        <v>3</v>
      </c>
      <c r="AT47">
        <v>1.73</v>
      </c>
      <c r="AU47" t="s">
        <v>3</v>
      </c>
      <c r="AV47">
        <v>0</v>
      </c>
      <c r="AW47">
        <v>2</v>
      </c>
      <c r="AX47">
        <v>40777255</v>
      </c>
      <c r="AY47">
        <v>1</v>
      </c>
      <c r="AZ47">
        <v>0</v>
      </c>
      <c r="BA47">
        <v>47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V47">
        <v>0</v>
      </c>
      <c r="CW47">
        <f>ROUND(Y47*Source!I34,9)</f>
        <v>0.6401</v>
      </c>
      <c r="CX47">
        <f>ROUND(Y47*Source!I34,9)</f>
        <v>0.6401</v>
      </c>
      <c r="CY47">
        <f>AB47</f>
        <v>1442.2</v>
      </c>
      <c r="CZ47">
        <f>AF47</f>
        <v>138.54</v>
      </c>
      <c r="DA47">
        <f>AJ47</f>
        <v>10.41</v>
      </c>
      <c r="DB47">
        <f>ROUND(ROUND(AT47*CZ47,2),2)</f>
        <v>239.67</v>
      </c>
      <c r="DC47">
        <f>ROUND(ROUND(AT47*AG47,2),2)</f>
        <v>20.93</v>
      </c>
      <c r="DD47" t="s">
        <v>3</v>
      </c>
      <c r="DE47" t="s">
        <v>3</v>
      </c>
      <c r="DF47">
        <f t="shared" si="25"/>
        <v>0</v>
      </c>
      <c r="DG47">
        <f>ROUND(ROUND(AF47*AJ47,2)*CX47,2)</f>
        <v>923.15</v>
      </c>
      <c r="DH47">
        <f>ROUND(ROUND(AG47*AK47,2)*CX47,2)</f>
        <v>251.8</v>
      </c>
      <c r="DI47">
        <f t="shared" si="15"/>
        <v>0</v>
      </c>
      <c r="DJ47">
        <f>DG47</f>
        <v>923.15</v>
      </c>
      <c r="DK47">
        <v>0</v>
      </c>
      <c r="DL47" t="s">
        <v>3</v>
      </c>
      <c r="DM47">
        <v>0</v>
      </c>
      <c r="DN47" t="s">
        <v>3</v>
      </c>
      <c r="DO47">
        <v>0</v>
      </c>
    </row>
    <row r="48" spans="1:119" x14ac:dyDescent="0.2">
      <c r="A48">
        <f>ROW(Source!A34)</f>
        <v>34</v>
      </c>
      <c r="B48">
        <v>40777027</v>
      </c>
      <c r="C48">
        <v>40777247</v>
      </c>
      <c r="D48">
        <v>38686926</v>
      </c>
      <c r="E48">
        <v>1</v>
      </c>
      <c r="F48">
        <v>1</v>
      </c>
      <c r="G48">
        <v>1</v>
      </c>
      <c r="H48">
        <v>2</v>
      </c>
      <c r="I48" t="s">
        <v>367</v>
      </c>
      <c r="J48" t="s">
        <v>368</v>
      </c>
      <c r="K48" t="s">
        <v>369</v>
      </c>
      <c r="L48">
        <v>1368</v>
      </c>
      <c r="N48">
        <v>1011</v>
      </c>
      <c r="O48" t="s">
        <v>325</v>
      </c>
      <c r="P48" t="s">
        <v>325</v>
      </c>
      <c r="Q48">
        <v>1</v>
      </c>
      <c r="W48">
        <v>0</v>
      </c>
      <c r="X48">
        <v>-671646184</v>
      </c>
      <c r="Y48">
        <f>AT48</f>
        <v>1.73</v>
      </c>
      <c r="AA48">
        <v>0</v>
      </c>
      <c r="AB48">
        <v>1271.79</v>
      </c>
      <c r="AC48">
        <v>336.48</v>
      </c>
      <c r="AD48">
        <v>0</v>
      </c>
      <c r="AE48">
        <v>0</v>
      </c>
      <c r="AF48">
        <v>91.76</v>
      </c>
      <c r="AG48">
        <v>10.35</v>
      </c>
      <c r="AH48">
        <v>0</v>
      </c>
      <c r="AI48">
        <v>1</v>
      </c>
      <c r="AJ48">
        <v>13.86</v>
      </c>
      <c r="AK48">
        <v>32.51</v>
      </c>
      <c r="AL48">
        <v>1</v>
      </c>
      <c r="AM48">
        <v>2</v>
      </c>
      <c r="AN48">
        <v>0</v>
      </c>
      <c r="AO48">
        <v>1</v>
      </c>
      <c r="AP48">
        <v>1</v>
      </c>
      <c r="AQ48">
        <v>0</v>
      </c>
      <c r="AR48">
        <v>0</v>
      </c>
      <c r="AS48" t="s">
        <v>3</v>
      </c>
      <c r="AT48">
        <v>1.73</v>
      </c>
      <c r="AU48" t="s">
        <v>3</v>
      </c>
      <c r="AV48">
        <v>0</v>
      </c>
      <c r="AW48">
        <v>2</v>
      </c>
      <c r="AX48">
        <v>40777256</v>
      </c>
      <c r="AY48">
        <v>1</v>
      </c>
      <c r="AZ48">
        <v>0</v>
      </c>
      <c r="BA48">
        <v>48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V48">
        <v>0</v>
      </c>
      <c r="CW48">
        <f>ROUND(Y48*Source!I34,9)</f>
        <v>0.6401</v>
      </c>
      <c r="CX48">
        <f>ROUND(Y48*Source!I34,9)</f>
        <v>0.6401</v>
      </c>
      <c r="CY48">
        <f>AB48</f>
        <v>1271.79</v>
      </c>
      <c r="CZ48">
        <f>AF48</f>
        <v>91.76</v>
      </c>
      <c r="DA48">
        <f>AJ48</f>
        <v>13.86</v>
      </c>
      <c r="DB48">
        <f>ROUND(ROUND(AT48*CZ48,2),2)</f>
        <v>158.74</v>
      </c>
      <c r="DC48">
        <f>ROUND(ROUND(AT48*AG48,2),2)</f>
        <v>17.91</v>
      </c>
      <c r="DD48" t="s">
        <v>3</v>
      </c>
      <c r="DE48" t="s">
        <v>3</v>
      </c>
      <c r="DF48">
        <f t="shared" si="25"/>
        <v>0</v>
      </c>
      <c r="DG48">
        <f>ROUND(ROUND(AF48*AJ48,2)*CX48,2)</f>
        <v>814.07</v>
      </c>
      <c r="DH48">
        <f>ROUND(ROUND(AG48*AK48,2)*CX48,2)</f>
        <v>215.38</v>
      </c>
      <c r="DI48">
        <f t="shared" si="15"/>
        <v>0</v>
      </c>
      <c r="DJ48">
        <f>DG48</f>
        <v>814.07</v>
      </c>
      <c r="DK48">
        <v>0</v>
      </c>
      <c r="DL48" t="s">
        <v>3</v>
      </c>
      <c r="DM48">
        <v>0</v>
      </c>
      <c r="DN48" t="s">
        <v>3</v>
      </c>
      <c r="DO48">
        <v>0</v>
      </c>
    </row>
    <row r="49" spans="1:119" x14ac:dyDescent="0.2">
      <c r="A49">
        <f>ROW(Source!A34)</f>
        <v>34</v>
      </c>
      <c r="B49">
        <v>40777027</v>
      </c>
      <c r="C49">
        <v>40777247</v>
      </c>
      <c r="D49">
        <v>38684560</v>
      </c>
      <c r="E49">
        <v>1</v>
      </c>
      <c r="F49">
        <v>1</v>
      </c>
      <c r="G49">
        <v>1</v>
      </c>
      <c r="H49">
        <v>3</v>
      </c>
      <c r="I49" t="s">
        <v>354</v>
      </c>
      <c r="J49" t="s">
        <v>355</v>
      </c>
      <c r="K49" t="s">
        <v>356</v>
      </c>
      <c r="L49">
        <v>1374</v>
      </c>
      <c r="N49">
        <v>1013</v>
      </c>
      <c r="O49" t="s">
        <v>357</v>
      </c>
      <c r="P49" t="s">
        <v>357</v>
      </c>
      <c r="Q49">
        <v>1</v>
      </c>
      <c r="W49">
        <v>0</v>
      </c>
      <c r="X49">
        <v>2131831278</v>
      </c>
      <c r="Y49">
        <f>(AT49*0)</f>
        <v>0</v>
      </c>
      <c r="AA49">
        <v>1</v>
      </c>
      <c r="AB49">
        <v>0</v>
      </c>
      <c r="AC49">
        <v>0</v>
      </c>
      <c r="AD49">
        <v>0</v>
      </c>
      <c r="AE49">
        <v>1</v>
      </c>
      <c r="AF49">
        <v>0</v>
      </c>
      <c r="AG49">
        <v>0</v>
      </c>
      <c r="AH49">
        <v>0</v>
      </c>
      <c r="AI49">
        <v>1</v>
      </c>
      <c r="AJ49">
        <v>1</v>
      </c>
      <c r="AK49">
        <v>1</v>
      </c>
      <c r="AL49">
        <v>1</v>
      </c>
      <c r="AM49">
        <v>-2</v>
      </c>
      <c r="AN49">
        <v>0</v>
      </c>
      <c r="AO49">
        <v>1</v>
      </c>
      <c r="AP49">
        <v>1</v>
      </c>
      <c r="AQ49">
        <v>0</v>
      </c>
      <c r="AR49">
        <v>0</v>
      </c>
      <c r="AS49" t="s">
        <v>3</v>
      </c>
      <c r="AT49">
        <v>0.94</v>
      </c>
      <c r="AU49" t="s">
        <v>19</v>
      </c>
      <c r="AV49">
        <v>0</v>
      </c>
      <c r="AW49">
        <v>2</v>
      </c>
      <c r="AX49">
        <v>40777257</v>
      </c>
      <c r="AY49">
        <v>1</v>
      </c>
      <c r="AZ49">
        <v>0</v>
      </c>
      <c r="BA49">
        <v>49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V49">
        <v>0</v>
      </c>
      <c r="CW49">
        <v>0</v>
      </c>
      <c r="CX49">
        <f>ROUND(Y49*Source!I34,9)</f>
        <v>0</v>
      </c>
      <c r="CY49">
        <f>AA49</f>
        <v>1</v>
      </c>
      <c r="CZ49">
        <f>AE49</f>
        <v>1</v>
      </c>
      <c r="DA49">
        <f>AI49</f>
        <v>1</v>
      </c>
      <c r="DB49">
        <f>ROUND((ROUND(AT49*CZ49,2)*0),2)</f>
        <v>0</v>
      </c>
      <c r="DC49">
        <f>ROUND((ROUND(AT49*AG49,2)*0),2)</f>
        <v>0</v>
      </c>
      <c r="DD49" t="s">
        <v>3</v>
      </c>
      <c r="DE49" t="s">
        <v>3</v>
      </c>
      <c r="DF49">
        <f t="shared" si="25"/>
        <v>0</v>
      </c>
      <c r="DG49">
        <f>ROUND(ROUND(AF49,2)*CX49,2)</f>
        <v>0</v>
      </c>
      <c r="DH49">
        <f>ROUND(ROUND(AG49,2)*CX49,2)</f>
        <v>0</v>
      </c>
      <c r="DI49">
        <f t="shared" si="15"/>
        <v>0</v>
      </c>
      <c r="DJ49">
        <f>DF49</f>
        <v>0</v>
      </c>
      <c r="DK49">
        <v>0</v>
      </c>
      <c r="DL49" t="s">
        <v>3</v>
      </c>
      <c r="DM49">
        <v>0</v>
      </c>
      <c r="DN49" t="s">
        <v>3</v>
      </c>
      <c r="DO49">
        <v>0</v>
      </c>
    </row>
    <row r="50" spans="1:119" x14ac:dyDescent="0.2">
      <c r="A50">
        <f>ROW(Source!A35)</f>
        <v>35</v>
      </c>
      <c r="B50">
        <v>40777027</v>
      </c>
      <c r="C50">
        <v>40777258</v>
      </c>
      <c r="D50">
        <v>23351395</v>
      </c>
      <c r="E50">
        <v>1</v>
      </c>
      <c r="F50">
        <v>1</v>
      </c>
      <c r="G50">
        <v>1</v>
      </c>
      <c r="H50">
        <v>1</v>
      </c>
      <c r="I50" t="s">
        <v>343</v>
      </c>
      <c r="J50" t="s">
        <v>3</v>
      </c>
      <c r="K50" t="s">
        <v>344</v>
      </c>
      <c r="L50">
        <v>1369</v>
      </c>
      <c r="N50">
        <v>1013</v>
      </c>
      <c r="O50" t="s">
        <v>319</v>
      </c>
      <c r="P50" t="s">
        <v>319</v>
      </c>
      <c r="Q50">
        <v>1</v>
      </c>
      <c r="W50">
        <v>0</v>
      </c>
      <c r="X50">
        <v>1072260845</v>
      </c>
      <c r="Y50">
        <f>AT50</f>
        <v>2.72</v>
      </c>
      <c r="AA50">
        <v>0</v>
      </c>
      <c r="AB50">
        <v>0</v>
      </c>
      <c r="AC50">
        <v>0</v>
      </c>
      <c r="AD50">
        <v>8.99</v>
      </c>
      <c r="AE50">
        <v>0</v>
      </c>
      <c r="AF50">
        <v>0</v>
      </c>
      <c r="AG50">
        <v>0</v>
      </c>
      <c r="AH50">
        <v>8.99</v>
      </c>
      <c r="AI50">
        <v>1</v>
      </c>
      <c r="AJ50">
        <v>1</v>
      </c>
      <c r="AK50">
        <v>1</v>
      </c>
      <c r="AL50">
        <v>1</v>
      </c>
      <c r="AM50">
        <v>-2</v>
      </c>
      <c r="AN50">
        <v>0</v>
      </c>
      <c r="AO50">
        <v>1</v>
      </c>
      <c r="AP50">
        <v>1</v>
      </c>
      <c r="AQ50">
        <v>0</v>
      </c>
      <c r="AR50">
        <v>0</v>
      </c>
      <c r="AS50" t="s">
        <v>3</v>
      </c>
      <c r="AT50">
        <v>2.72</v>
      </c>
      <c r="AU50" t="s">
        <v>3</v>
      </c>
      <c r="AV50">
        <v>1</v>
      </c>
      <c r="AW50">
        <v>2</v>
      </c>
      <c r="AX50">
        <v>40777264</v>
      </c>
      <c r="AY50">
        <v>1</v>
      </c>
      <c r="AZ50">
        <v>0</v>
      </c>
      <c r="BA50">
        <v>50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U50">
        <f>ROUND(AT50*Source!I35*AH50*AL50,2)</f>
        <v>9.0500000000000007</v>
      </c>
      <c r="CV50">
        <f>ROUND(Y50*Source!I35,9)</f>
        <v>1.0064</v>
      </c>
      <c r="CW50">
        <v>0</v>
      </c>
      <c r="CX50">
        <f>ROUND(Y50*Source!I35,9)</f>
        <v>1.0064</v>
      </c>
      <c r="CY50">
        <f>AD50</f>
        <v>8.99</v>
      </c>
      <c r="CZ50">
        <f>AH50</f>
        <v>8.99</v>
      </c>
      <c r="DA50">
        <f>AL50</f>
        <v>1</v>
      </c>
      <c r="DB50">
        <f>ROUND(ROUND(AT50*CZ50,2),2)</f>
        <v>24.45</v>
      </c>
      <c r="DC50">
        <f>ROUND(ROUND(AT50*AG50,2),2)</f>
        <v>0</v>
      </c>
      <c r="DD50" t="s">
        <v>3</v>
      </c>
      <c r="DE50" t="s">
        <v>3</v>
      </c>
      <c r="DF50">
        <f t="shared" si="25"/>
        <v>0</v>
      </c>
      <c r="DG50">
        <f>ROUND(ROUND(AF50,2)*CX50,2)</f>
        <v>0</v>
      </c>
      <c r="DH50">
        <f>ROUND(ROUND(AG50,2)*CX50,2)</f>
        <v>0</v>
      </c>
      <c r="DI50">
        <f t="shared" si="15"/>
        <v>9.0500000000000007</v>
      </c>
      <c r="DJ50">
        <f>DI50</f>
        <v>9.0500000000000007</v>
      </c>
      <c r="DK50">
        <v>0</v>
      </c>
      <c r="DL50" t="s">
        <v>3</v>
      </c>
      <c r="DM50">
        <v>0</v>
      </c>
      <c r="DN50" t="s">
        <v>3</v>
      </c>
      <c r="DO50">
        <v>0</v>
      </c>
    </row>
    <row r="51" spans="1:119" x14ac:dyDescent="0.2">
      <c r="A51">
        <f>ROW(Source!A35)</f>
        <v>35</v>
      </c>
      <c r="B51">
        <v>40777027</v>
      </c>
      <c r="C51">
        <v>40777258</v>
      </c>
      <c r="D51">
        <v>121548</v>
      </c>
      <c r="E51">
        <v>1</v>
      </c>
      <c r="F51">
        <v>1</v>
      </c>
      <c r="G51">
        <v>1</v>
      </c>
      <c r="H51">
        <v>1</v>
      </c>
      <c r="I51" t="s">
        <v>26</v>
      </c>
      <c r="J51" t="s">
        <v>3</v>
      </c>
      <c r="K51" t="s">
        <v>320</v>
      </c>
      <c r="L51">
        <v>608254</v>
      </c>
      <c r="N51">
        <v>1013</v>
      </c>
      <c r="O51" t="s">
        <v>321</v>
      </c>
      <c r="P51" t="s">
        <v>321</v>
      </c>
      <c r="Q51">
        <v>1</v>
      </c>
      <c r="W51">
        <v>0</v>
      </c>
      <c r="X51">
        <v>-185737400</v>
      </c>
      <c r="Y51">
        <f>AT51</f>
        <v>0.91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1</v>
      </c>
      <c r="AJ51">
        <v>1</v>
      </c>
      <c r="AK51">
        <v>1</v>
      </c>
      <c r="AL51">
        <v>1</v>
      </c>
      <c r="AM51">
        <v>-2</v>
      </c>
      <c r="AN51">
        <v>0</v>
      </c>
      <c r="AO51">
        <v>1</v>
      </c>
      <c r="AP51">
        <v>1</v>
      </c>
      <c r="AQ51">
        <v>0</v>
      </c>
      <c r="AR51">
        <v>0</v>
      </c>
      <c r="AS51" t="s">
        <v>3</v>
      </c>
      <c r="AT51">
        <v>0.91</v>
      </c>
      <c r="AU51" t="s">
        <v>3</v>
      </c>
      <c r="AV51">
        <v>2</v>
      </c>
      <c r="AW51">
        <v>2</v>
      </c>
      <c r="AX51">
        <v>40777265</v>
      </c>
      <c r="AY51">
        <v>1</v>
      </c>
      <c r="AZ51">
        <v>0</v>
      </c>
      <c r="BA51">
        <v>51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V51">
        <v>0</v>
      </c>
      <c r="CW51">
        <v>0</v>
      </c>
      <c r="CX51">
        <f>ROUND(Y51*Source!I35,9)</f>
        <v>0.3367</v>
      </c>
      <c r="CY51">
        <f>AD51</f>
        <v>0</v>
      </c>
      <c r="CZ51">
        <f>AH51</f>
        <v>0</v>
      </c>
      <c r="DA51">
        <f>AL51</f>
        <v>1</v>
      </c>
      <c r="DB51">
        <f>ROUND(ROUND(AT51*CZ51,2),2)</f>
        <v>0</v>
      </c>
      <c r="DC51">
        <f>ROUND(ROUND(AT51*AG51,2),2)</f>
        <v>0</v>
      </c>
      <c r="DD51" t="s">
        <v>3</v>
      </c>
      <c r="DE51" t="s">
        <v>3</v>
      </c>
      <c r="DF51">
        <f t="shared" si="25"/>
        <v>0</v>
      </c>
      <c r="DG51">
        <f>ROUND(ROUND(AF51,2)*CX51,2)</f>
        <v>0</v>
      </c>
      <c r="DH51">
        <f>ROUND(ROUND(AG51,2)*CX51,2)</f>
        <v>0</v>
      </c>
      <c r="DI51">
        <f t="shared" si="15"/>
        <v>0</v>
      </c>
      <c r="DJ51">
        <f>DI51</f>
        <v>0</v>
      </c>
      <c r="DK51">
        <v>0</v>
      </c>
      <c r="DL51" t="s">
        <v>3</v>
      </c>
      <c r="DM51">
        <v>0</v>
      </c>
      <c r="DN51" t="s">
        <v>3</v>
      </c>
      <c r="DO51">
        <v>0</v>
      </c>
    </row>
    <row r="52" spans="1:119" x14ac:dyDescent="0.2">
      <c r="A52">
        <f>ROW(Source!A35)</f>
        <v>35</v>
      </c>
      <c r="B52">
        <v>40777027</v>
      </c>
      <c r="C52">
        <v>40777258</v>
      </c>
      <c r="D52">
        <v>38685072</v>
      </c>
      <c r="E52">
        <v>1</v>
      </c>
      <c r="F52">
        <v>1</v>
      </c>
      <c r="G52">
        <v>1</v>
      </c>
      <c r="H52">
        <v>2</v>
      </c>
      <c r="I52" t="s">
        <v>358</v>
      </c>
      <c r="J52" t="s">
        <v>359</v>
      </c>
      <c r="K52" t="s">
        <v>360</v>
      </c>
      <c r="L52">
        <v>1368</v>
      </c>
      <c r="N52">
        <v>1011</v>
      </c>
      <c r="O52" t="s">
        <v>325</v>
      </c>
      <c r="P52" t="s">
        <v>325</v>
      </c>
      <c r="Q52">
        <v>1</v>
      </c>
      <c r="W52">
        <v>0</v>
      </c>
      <c r="X52">
        <v>-1424728221</v>
      </c>
      <c r="Y52">
        <f>AT52</f>
        <v>0.91</v>
      </c>
      <c r="AA52">
        <v>0</v>
      </c>
      <c r="AB52">
        <v>1442.2</v>
      </c>
      <c r="AC52">
        <v>393.37</v>
      </c>
      <c r="AD52">
        <v>0</v>
      </c>
      <c r="AE52">
        <v>0</v>
      </c>
      <c r="AF52">
        <v>138.54</v>
      </c>
      <c r="AG52">
        <v>12.1</v>
      </c>
      <c r="AH52">
        <v>0</v>
      </c>
      <c r="AI52">
        <v>1</v>
      </c>
      <c r="AJ52">
        <v>10.41</v>
      </c>
      <c r="AK52">
        <v>32.51</v>
      </c>
      <c r="AL52">
        <v>1</v>
      </c>
      <c r="AM52">
        <v>2</v>
      </c>
      <c r="AN52">
        <v>0</v>
      </c>
      <c r="AO52">
        <v>1</v>
      </c>
      <c r="AP52">
        <v>1</v>
      </c>
      <c r="AQ52">
        <v>0</v>
      </c>
      <c r="AR52">
        <v>0</v>
      </c>
      <c r="AS52" t="s">
        <v>3</v>
      </c>
      <c r="AT52">
        <v>0.91</v>
      </c>
      <c r="AU52" t="s">
        <v>3</v>
      </c>
      <c r="AV52">
        <v>0</v>
      </c>
      <c r="AW52">
        <v>2</v>
      </c>
      <c r="AX52">
        <v>40777266</v>
      </c>
      <c r="AY52">
        <v>1</v>
      </c>
      <c r="AZ52">
        <v>0</v>
      </c>
      <c r="BA52">
        <v>52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V52">
        <v>0</v>
      </c>
      <c r="CW52">
        <f>ROUND(Y52*Source!I35,9)</f>
        <v>0.3367</v>
      </c>
      <c r="CX52">
        <f>ROUND(Y52*Source!I35,9)</f>
        <v>0.3367</v>
      </c>
      <c r="CY52">
        <f>AB52</f>
        <v>1442.2</v>
      </c>
      <c r="CZ52">
        <f>AF52</f>
        <v>138.54</v>
      </c>
      <c r="DA52">
        <f>AJ52</f>
        <v>10.41</v>
      </c>
      <c r="DB52">
        <f>ROUND(ROUND(AT52*CZ52,2),2)</f>
        <v>126.07</v>
      </c>
      <c r="DC52">
        <f>ROUND(ROUND(AT52*AG52,2),2)</f>
        <v>11.01</v>
      </c>
      <c r="DD52" t="s">
        <v>3</v>
      </c>
      <c r="DE52" t="s">
        <v>3</v>
      </c>
      <c r="DF52">
        <f t="shared" si="25"/>
        <v>0</v>
      </c>
      <c r="DG52">
        <f>ROUND(ROUND(AF52*AJ52,2)*CX52,2)</f>
        <v>485.59</v>
      </c>
      <c r="DH52">
        <f>ROUND(ROUND(AG52*AK52,2)*CX52,2)</f>
        <v>132.44999999999999</v>
      </c>
      <c r="DI52">
        <f t="shared" si="15"/>
        <v>0</v>
      </c>
      <c r="DJ52">
        <f>DG52</f>
        <v>485.59</v>
      </c>
      <c r="DK52">
        <v>0</v>
      </c>
      <c r="DL52" t="s">
        <v>3</v>
      </c>
      <c r="DM52">
        <v>0</v>
      </c>
      <c r="DN52" t="s">
        <v>3</v>
      </c>
      <c r="DO52">
        <v>0</v>
      </c>
    </row>
    <row r="53" spans="1:119" x14ac:dyDescent="0.2">
      <c r="A53">
        <f>ROW(Source!A35)</f>
        <v>35</v>
      </c>
      <c r="B53">
        <v>40777027</v>
      </c>
      <c r="C53">
        <v>40777258</v>
      </c>
      <c r="D53">
        <v>38686926</v>
      </c>
      <c r="E53">
        <v>1</v>
      </c>
      <c r="F53">
        <v>1</v>
      </c>
      <c r="G53">
        <v>1</v>
      </c>
      <c r="H53">
        <v>2</v>
      </c>
      <c r="I53" t="s">
        <v>367</v>
      </c>
      <c r="J53" t="s">
        <v>368</v>
      </c>
      <c r="K53" t="s">
        <v>369</v>
      </c>
      <c r="L53">
        <v>1368</v>
      </c>
      <c r="N53">
        <v>1011</v>
      </c>
      <c r="O53" t="s">
        <v>325</v>
      </c>
      <c r="P53" t="s">
        <v>325</v>
      </c>
      <c r="Q53">
        <v>1</v>
      </c>
      <c r="W53">
        <v>0</v>
      </c>
      <c r="X53">
        <v>-671646184</v>
      </c>
      <c r="Y53">
        <f>AT53</f>
        <v>0.91</v>
      </c>
      <c r="AA53">
        <v>0</v>
      </c>
      <c r="AB53">
        <v>1271.79</v>
      </c>
      <c r="AC53">
        <v>336.48</v>
      </c>
      <c r="AD53">
        <v>0</v>
      </c>
      <c r="AE53">
        <v>0</v>
      </c>
      <c r="AF53">
        <v>91.76</v>
      </c>
      <c r="AG53">
        <v>10.35</v>
      </c>
      <c r="AH53">
        <v>0</v>
      </c>
      <c r="AI53">
        <v>1</v>
      </c>
      <c r="AJ53">
        <v>13.86</v>
      </c>
      <c r="AK53">
        <v>32.51</v>
      </c>
      <c r="AL53">
        <v>1</v>
      </c>
      <c r="AM53">
        <v>2</v>
      </c>
      <c r="AN53">
        <v>0</v>
      </c>
      <c r="AO53">
        <v>1</v>
      </c>
      <c r="AP53">
        <v>1</v>
      </c>
      <c r="AQ53">
        <v>0</v>
      </c>
      <c r="AR53">
        <v>0</v>
      </c>
      <c r="AS53" t="s">
        <v>3</v>
      </c>
      <c r="AT53">
        <v>0.91</v>
      </c>
      <c r="AU53" t="s">
        <v>3</v>
      </c>
      <c r="AV53">
        <v>0</v>
      </c>
      <c r="AW53">
        <v>2</v>
      </c>
      <c r="AX53">
        <v>40777267</v>
      </c>
      <c r="AY53">
        <v>1</v>
      </c>
      <c r="AZ53">
        <v>0</v>
      </c>
      <c r="BA53">
        <v>53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V53">
        <v>0</v>
      </c>
      <c r="CW53">
        <f>ROUND(Y53*Source!I35,9)</f>
        <v>0.3367</v>
      </c>
      <c r="CX53">
        <f>ROUND(Y53*Source!I35,9)</f>
        <v>0.3367</v>
      </c>
      <c r="CY53">
        <f>AB53</f>
        <v>1271.79</v>
      </c>
      <c r="CZ53">
        <f>AF53</f>
        <v>91.76</v>
      </c>
      <c r="DA53">
        <f>AJ53</f>
        <v>13.86</v>
      </c>
      <c r="DB53">
        <f>ROUND(ROUND(AT53*CZ53,2),2)</f>
        <v>83.5</v>
      </c>
      <c r="DC53">
        <f>ROUND(ROUND(AT53*AG53,2),2)</f>
        <v>9.42</v>
      </c>
      <c r="DD53" t="s">
        <v>3</v>
      </c>
      <c r="DE53" t="s">
        <v>3</v>
      </c>
      <c r="DF53">
        <f t="shared" si="25"/>
        <v>0</v>
      </c>
      <c r="DG53">
        <f>ROUND(ROUND(AF53*AJ53,2)*CX53,2)</f>
        <v>428.21</v>
      </c>
      <c r="DH53">
        <f>ROUND(ROUND(AG53*AK53,2)*CX53,2)</f>
        <v>113.29</v>
      </c>
      <c r="DI53">
        <f t="shared" si="15"/>
        <v>0</v>
      </c>
      <c r="DJ53">
        <f>DG53</f>
        <v>428.21</v>
      </c>
      <c r="DK53">
        <v>0</v>
      </c>
      <c r="DL53" t="s">
        <v>3</v>
      </c>
      <c r="DM53">
        <v>0</v>
      </c>
      <c r="DN53" t="s">
        <v>3</v>
      </c>
      <c r="DO53">
        <v>0</v>
      </c>
    </row>
    <row r="54" spans="1:119" x14ac:dyDescent="0.2">
      <c r="A54">
        <f>ROW(Source!A35)</f>
        <v>35</v>
      </c>
      <c r="B54">
        <v>40777027</v>
      </c>
      <c r="C54">
        <v>40777258</v>
      </c>
      <c r="D54">
        <v>38684560</v>
      </c>
      <c r="E54">
        <v>1</v>
      </c>
      <c r="F54">
        <v>1</v>
      </c>
      <c r="G54">
        <v>1</v>
      </c>
      <c r="H54">
        <v>3</v>
      </c>
      <c r="I54" t="s">
        <v>354</v>
      </c>
      <c r="J54" t="s">
        <v>355</v>
      </c>
      <c r="K54" t="s">
        <v>356</v>
      </c>
      <c r="L54">
        <v>1374</v>
      </c>
      <c r="N54">
        <v>1013</v>
      </c>
      <c r="O54" t="s">
        <v>357</v>
      </c>
      <c r="P54" t="s">
        <v>357</v>
      </c>
      <c r="Q54">
        <v>1</v>
      </c>
      <c r="W54">
        <v>0</v>
      </c>
      <c r="X54">
        <v>2131831278</v>
      </c>
      <c r="Y54">
        <f>(AT54*0)</f>
        <v>0</v>
      </c>
      <c r="AA54">
        <v>1</v>
      </c>
      <c r="AB54">
        <v>0</v>
      </c>
      <c r="AC54">
        <v>0</v>
      </c>
      <c r="AD54">
        <v>0</v>
      </c>
      <c r="AE54">
        <v>1</v>
      </c>
      <c r="AF54">
        <v>0</v>
      </c>
      <c r="AG54">
        <v>0</v>
      </c>
      <c r="AH54">
        <v>0</v>
      </c>
      <c r="AI54">
        <v>1</v>
      </c>
      <c r="AJ54">
        <v>1</v>
      </c>
      <c r="AK54">
        <v>1</v>
      </c>
      <c r="AL54">
        <v>1</v>
      </c>
      <c r="AM54">
        <v>-2</v>
      </c>
      <c r="AN54">
        <v>0</v>
      </c>
      <c r="AO54">
        <v>1</v>
      </c>
      <c r="AP54">
        <v>1</v>
      </c>
      <c r="AQ54">
        <v>0</v>
      </c>
      <c r="AR54">
        <v>0</v>
      </c>
      <c r="AS54" t="s">
        <v>3</v>
      </c>
      <c r="AT54">
        <v>0.49</v>
      </c>
      <c r="AU54" t="s">
        <v>19</v>
      </c>
      <c r="AV54">
        <v>0</v>
      </c>
      <c r="AW54">
        <v>2</v>
      </c>
      <c r="AX54">
        <v>40777268</v>
      </c>
      <c r="AY54">
        <v>1</v>
      </c>
      <c r="AZ54">
        <v>0</v>
      </c>
      <c r="BA54">
        <v>54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V54">
        <v>0</v>
      </c>
      <c r="CW54">
        <v>0</v>
      </c>
      <c r="CX54">
        <f>ROUND(Y54*Source!I35,9)</f>
        <v>0</v>
      </c>
      <c r="CY54">
        <f>AA54</f>
        <v>1</v>
      </c>
      <c r="CZ54">
        <f>AE54</f>
        <v>1</v>
      </c>
      <c r="DA54">
        <f>AI54</f>
        <v>1</v>
      </c>
      <c r="DB54">
        <f>ROUND((ROUND(AT54*CZ54,2)*0),2)</f>
        <v>0</v>
      </c>
      <c r="DC54">
        <f>ROUND((ROUND(AT54*AG54,2)*0),2)</f>
        <v>0</v>
      </c>
      <c r="DD54" t="s">
        <v>3</v>
      </c>
      <c r="DE54" t="s">
        <v>3</v>
      </c>
      <c r="DF54">
        <f t="shared" si="25"/>
        <v>0</v>
      </c>
      <c r="DG54">
        <f>ROUND(ROUND(AF54,2)*CX54,2)</f>
        <v>0</v>
      </c>
      <c r="DH54">
        <f>ROUND(ROUND(AG54,2)*CX54,2)</f>
        <v>0</v>
      </c>
      <c r="DI54">
        <f t="shared" si="15"/>
        <v>0</v>
      </c>
      <c r="DJ54">
        <f>DF54</f>
        <v>0</v>
      </c>
      <c r="DK54">
        <v>0</v>
      </c>
      <c r="DL54" t="s">
        <v>3</v>
      </c>
      <c r="DM54">
        <v>0</v>
      </c>
      <c r="DN54" t="s">
        <v>3</v>
      </c>
      <c r="DO54">
        <v>0</v>
      </c>
    </row>
    <row r="55" spans="1:119" x14ac:dyDescent="0.2">
      <c r="A55">
        <f>ROW(Source!A36)</f>
        <v>36</v>
      </c>
      <c r="B55">
        <v>40777027</v>
      </c>
      <c r="C55">
        <v>40777269</v>
      </c>
      <c r="D55">
        <v>23351395</v>
      </c>
      <c r="E55">
        <v>1</v>
      </c>
      <c r="F55">
        <v>1</v>
      </c>
      <c r="G55">
        <v>1</v>
      </c>
      <c r="H55">
        <v>1</v>
      </c>
      <c r="I55" t="s">
        <v>343</v>
      </c>
      <c r="J55" t="s">
        <v>3</v>
      </c>
      <c r="K55" t="s">
        <v>344</v>
      </c>
      <c r="L55">
        <v>1369</v>
      </c>
      <c r="N55">
        <v>1013</v>
      </c>
      <c r="O55" t="s">
        <v>319</v>
      </c>
      <c r="P55" t="s">
        <v>319</v>
      </c>
      <c r="Q55">
        <v>1</v>
      </c>
      <c r="W55">
        <v>0</v>
      </c>
      <c r="X55">
        <v>1072260845</v>
      </c>
      <c r="Y55">
        <f t="shared" ref="Y55:Y61" si="26">AT55</f>
        <v>24.32</v>
      </c>
      <c r="AA55">
        <v>0</v>
      </c>
      <c r="AB55">
        <v>0</v>
      </c>
      <c r="AC55">
        <v>0</v>
      </c>
      <c r="AD55">
        <v>8.99</v>
      </c>
      <c r="AE55">
        <v>0</v>
      </c>
      <c r="AF55">
        <v>0</v>
      </c>
      <c r="AG55">
        <v>0</v>
      </c>
      <c r="AH55">
        <v>8.99</v>
      </c>
      <c r="AI55">
        <v>1</v>
      </c>
      <c r="AJ55">
        <v>1</v>
      </c>
      <c r="AK55">
        <v>1</v>
      </c>
      <c r="AL55">
        <v>1</v>
      </c>
      <c r="AM55">
        <v>-2</v>
      </c>
      <c r="AN55">
        <v>0</v>
      </c>
      <c r="AO55">
        <v>1</v>
      </c>
      <c r="AP55">
        <v>1</v>
      </c>
      <c r="AQ55">
        <v>0</v>
      </c>
      <c r="AR55">
        <v>0</v>
      </c>
      <c r="AS55" t="s">
        <v>3</v>
      </c>
      <c r="AT55">
        <v>24.32</v>
      </c>
      <c r="AU55" t="s">
        <v>3</v>
      </c>
      <c r="AV55">
        <v>1</v>
      </c>
      <c r="AW55">
        <v>2</v>
      </c>
      <c r="AX55">
        <v>40777281</v>
      </c>
      <c r="AY55">
        <v>1</v>
      </c>
      <c r="AZ55">
        <v>0</v>
      </c>
      <c r="BA55">
        <v>55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U55">
        <f>ROUND(AT55*Source!I36*AH55*AL55,2)</f>
        <v>109.32</v>
      </c>
      <c r="CV55">
        <f>ROUND(Y55*Source!I36,9)</f>
        <v>12.16</v>
      </c>
      <c r="CW55">
        <v>0</v>
      </c>
      <c r="CX55">
        <f>ROUND(Y55*Source!I36,9)</f>
        <v>12.16</v>
      </c>
      <c r="CY55">
        <f>AD55</f>
        <v>8.99</v>
      </c>
      <c r="CZ55">
        <f>AH55</f>
        <v>8.99</v>
      </c>
      <c r="DA55">
        <f>AL55</f>
        <v>1</v>
      </c>
      <c r="DB55">
        <f t="shared" ref="DB55:DB61" si="27">ROUND(ROUND(AT55*CZ55,2),2)</f>
        <v>218.64</v>
      </c>
      <c r="DC55">
        <f t="shared" ref="DC55:DC61" si="28">ROUND(ROUND(AT55*AG55,2),2)</f>
        <v>0</v>
      </c>
      <c r="DD55" t="s">
        <v>3</v>
      </c>
      <c r="DE55" t="s">
        <v>3</v>
      </c>
      <c r="DF55">
        <f t="shared" si="25"/>
        <v>0</v>
      </c>
      <c r="DG55">
        <f>ROUND(ROUND(AF55,2)*CX55,2)</f>
        <v>0</v>
      </c>
      <c r="DH55">
        <f>ROUND(ROUND(AG55,2)*CX55,2)</f>
        <v>0</v>
      </c>
      <c r="DI55">
        <f t="shared" si="15"/>
        <v>109.32</v>
      </c>
      <c r="DJ55">
        <f>DI55</f>
        <v>109.32</v>
      </c>
      <c r="DK55">
        <v>0</v>
      </c>
      <c r="DL55" t="s">
        <v>3</v>
      </c>
      <c r="DM55">
        <v>0</v>
      </c>
      <c r="DN55" t="s">
        <v>3</v>
      </c>
      <c r="DO55">
        <v>0</v>
      </c>
    </row>
    <row r="56" spans="1:119" x14ac:dyDescent="0.2">
      <c r="A56">
        <f>ROW(Source!A36)</f>
        <v>36</v>
      </c>
      <c r="B56">
        <v>40777027</v>
      </c>
      <c r="C56">
        <v>40777269</v>
      </c>
      <c r="D56">
        <v>121548</v>
      </c>
      <c r="E56">
        <v>1</v>
      </c>
      <c r="F56">
        <v>1</v>
      </c>
      <c r="G56">
        <v>1</v>
      </c>
      <c r="H56">
        <v>1</v>
      </c>
      <c r="I56" t="s">
        <v>26</v>
      </c>
      <c r="J56" t="s">
        <v>3</v>
      </c>
      <c r="K56" t="s">
        <v>320</v>
      </c>
      <c r="L56">
        <v>608254</v>
      </c>
      <c r="N56">
        <v>1013</v>
      </c>
      <c r="O56" t="s">
        <v>321</v>
      </c>
      <c r="P56" t="s">
        <v>321</v>
      </c>
      <c r="Q56">
        <v>1</v>
      </c>
      <c r="W56">
        <v>0</v>
      </c>
      <c r="X56">
        <v>-185737400</v>
      </c>
      <c r="Y56">
        <f t="shared" si="26"/>
        <v>7.62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1</v>
      </c>
      <c r="AK56">
        <v>1</v>
      </c>
      <c r="AL56">
        <v>1</v>
      </c>
      <c r="AM56">
        <v>-2</v>
      </c>
      <c r="AN56">
        <v>0</v>
      </c>
      <c r="AO56">
        <v>1</v>
      </c>
      <c r="AP56">
        <v>1</v>
      </c>
      <c r="AQ56">
        <v>0</v>
      </c>
      <c r="AR56">
        <v>0</v>
      </c>
      <c r="AS56" t="s">
        <v>3</v>
      </c>
      <c r="AT56">
        <v>7.62</v>
      </c>
      <c r="AU56" t="s">
        <v>3</v>
      </c>
      <c r="AV56">
        <v>2</v>
      </c>
      <c r="AW56">
        <v>2</v>
      </c>
      <c r="AX56">
        <v>40777282</v>
      </c>
      <c r="AY56">
        <v>1</v>
      </c>
      <c r="AZ56">
        <v>0</v>
      </c>
      <c r="BA56">
        <v>56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V56">
        <v>0</v>
      </c>
      <c r="CW56">
        <v>0</v>
      </c>
      <c r="CX56">
        <f>ROUND(Y56*Source!I36,9)</f>
        <v>3.81</v>
      </c>
      <c r="CY56">
        <f>AD56</f>
        <v>0</v>
      </c>
      <c r="CZ56">
        <f>AH56</f>
        <v>0</v>
      </c>
      <c r="DA56">
        <f>AL56</f>
        <v>1</v>
      </c>
      <c r="DB56">
        <f t="shared" si="27"/>
        <v>0</v>
      </c>
      <c r="DC56">
        <f t="shared" si="28"/>
        <v>0</v>
      </c>
      <c r="DD56" t="s">
        <v>3</v>
      </c>
      <c r="DE56" t="s">
        <v>3</v>
      </c>
      <c r="DF56">
        <f t="shared" si="25"/>
        <v>0</v>
      </c>
      <c r="DG56">
        <f>ROUND(ROUND(AF56,2)*CX56,2)</f>
        <v>0</v>
      </c>
      <c r="DH56">
        <f>ROUND(ROUND(AG56,2)*CX56,2)</f>
        <v>0</v>
      </c>
      <c r="DI56">
        <f t="shared" si="15"/>
        <v>0</v>
      </c>
      <c r="DJ56">
        <f>DI56</f>
        <v>0</v>
      </c>
      <c r="DK56">
        <v>0</v>
      </c>
      <c r="DL56" t="s">
        <v>3</v>
      </c>
      <c r="DM56">
        <v>0</v>
      </c>
      <c r="DN56" t="s">
        <v>3</v>
      </c>
      <c r="DO56">
        <v>0</v>
      </c>
    </row>
    <row r="57" spans="1:119" x14ac:dyDescent="0.2">
      <c r="A57">
        <f>ROW(Source!A36)</f>
        <v>36</v>
      </c>
      <c r="B57">
        <v>40777027</v>
      </c>
      <c r="C57">
        <v>40777269</v>
      </c>
      <c r="D57">
        <v>38685072</v>
      </c>
      <c r="E57">
        <v>1</v>
      </c>
      <c r="F57">
        <v>1</v>
      </c>
      <c r="G57">
        <v>1</v>
      </c>
      <c r="H57">
        <v>2</v>
      </c>
      <c r="I57" t="s">
        <v>358</v>
      </c>
      <c r="J57" t="s">
        <v>359</v>
      </c>
      <c r="K57" t="s">
        <v>360</v>
      </c>
      <c r="L57">
        <v>1368</v>
      </c>
      <c r="N57">
        <v>1011</v>
      </c>
      <c r="O57" t="s">
        <v>325</v>
      </c>
      <c r="P57" t="s">
        <v>325</v>
      </c>
      <c r="Q57">
        <v>1</v>
      </c>
      <c r="W57">
        <v>0</v>
      </c>
      <c r="X57">
        <v>-1424728221</v>
      </c>
      <c r="Y57">
        <f t="shared" si="26"/>
        <v>0.2</v>
      </c>
      <c r="AA57">
        <v>0</v>
      </c>
      <c r="AB57">
        <v>1442.2</v>
      </c>
      <c r="AC57">
        <v>393.37</v>
      </c>
      <c r="AD57">
        <v>0</v>
      </c>
      <c r="AE57">
        <v>0</v>
      </c>
      <c r="AF57">
        <v>138.54</v>
      </c>
      <c r="AG57">
        <v>12.1</v>
      </c>
      <c r="AH57">
        <v>0</v>
      </c>
      <c r="AI57">
        <v>1</v>
      </c>
      <c r="AJ57">
        <v>10.41</v>
      </c>
      <c r="AK57">
        <v>32.51</v>
      </c>
      <c r="AL57">
        <v>1</v>
      </c>
      <c r="AM57">
        <v>2</v>
      </c>
      <c r="AN57">
        <v>0</v>
      </c>
      <c r="AO57">
        <v>1</v>
      </c>
      <c r="AP57">
        <v>1</v>
      </c>
      <c r="AQ57">
        <v>0</v>
      </c>
      <c r="AR57">
        <v>0</v>
      </c>
      <c r="AS57" t="s">
        <v>3</v>
      </c>
      <c r="AT57">
        <v>0.2</v>
      </c>
      <c r="AU57" t="s">
        <v>3</v>
      </c>
      <c r="AV57">
        <v>0</v>
      </c>
      <c r="AW57">
        <v>2</v>
      </c>
      <c r="AX57">
        <v>40777283</v>
      </c>
      <c r="AY57">
        <v>1</v>
      </c>
      <c r="AZ57">
        <v>0</v>
      </c>
      <c r="BA57">
        <v>57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V57">
        <v>0</v>
      </c>
      <c r="CW57">
        <f>ROUND(Y57*Source!I36,9)</f>
        <v>0.1</v>
      </c>
      <c r="CX57">
        <f>ROUND(Y57*Source!I36,9)</f>
        <v>0.1</v>
      </c>
      <c r="CY57">
        <f>AB57</f>
        <v>1442.2</v>
      </c>
      <c r="CZ57">
        <f>AF57</f>
        <v>138.54</v>
      </c>
      <c r="DA57">
        <f>AJ57</f>
        <v>10.41</v>
      </c>
      <c r="DB57">
        <f t="shared" si="27"/>
        <v>27.71</v>
      </c>
      <c r="DC57">
        <f t="shared" si="28"/>
        <v>2.42</v>
      </c>
      <c r="DD57" t="s">
        <v>3</v>
      </c>
      <c r="DE57" t="s">
        <v>3</v>
      </c>
      <c r="DF57">
        <f t="shared" si="25"/>
        <v>0</v>
      </c>
      <c r="DG57">
        <f>ROUND(ROUND(AF57*AJ57,2)*CX57,2)</f>
        <v>144.22</v>
      </c>
      <c r="DH57">
        <f>ROUND(ROUND(AG57*AK57,2)*CX57,2)</f>
        <v>39.340000000000003</v>
      </c>
      <c r="DI57">
        <f t="shared" si="15"/>
        <v>0</v>
      </c>
      <c r="DJ57">
        <f>DG57</f>
        <v>144.22</v>
      </c>
      <c r="DK57">
        <v>0</v>
      </c>
      <c r="DL57" t="s">
        <v>3</v>
      </c>
      <c r="DM57">
        <v>0</v>
      </c>
      <c r="DN57" t="s">
        <v>3</v>
      </c>
      <c r="DO57">
        <v>0</v>
      </c>
    </row>
    <row r="58" spans="1:119" x14ac:dyDescent="0.2">
      <c r="A58">
        <f>ROW(Source!A36)</f>
        <v>36</v>
      </c>
      <c r="B58">
        <v>40777027</v>
      </c>
      <c r="C58">
        <v>40777269</v>
      </c>
      <c r="D58">
        <v>38685168</v>
      </c>
      <c r="E58">
        <v>1</v>
      </c>
      <c r="F58">
        <v>1</v>
      </c>
      <c r="G58">
        <v>1</v>
      </c>
      <c r="H58">
        <v>2</v>
      </c>
      <c r="I58" t="s">
        <v>361</v>
      </c>
      <c r="J58" t="s">
        <v>362</v>
      </c>
      <c r="K58" t="s">
        <v>363</v>
      </c>
      <c r="L58">
        <v>1368</v>
      </c>
      <c r="N58">
        <v>1011</v>
      </c>
      <c r="O58" t="s">
        <v>325</v>
      </c>
      <c r="P58" t="s">
        <v>325</v>
      </c>
      <c r="Q58">
        <v>1</v>
      </c>
      <c r="W58">
        <v>0</v>
      </c>
      <c r="X58">
        <v>11972859</v>
      </c>
      <c r="Y58">
        <f t="shared" si="26"/>
        <v>5.57</v>
      </c>
      <c r="AA58">
        <v>0</v>
      </c>
      <c r="AB58">
        <v>8.07</v>
      </c>
      <c r="AC58">
        <v>0</v>
      </c>
      <c r="AD58">
        <v>0</v>
      </c>
      <c r="AE58">
        <v>0</v>
      </c>
      <c r="AF58">
        <v>1.52</v>
      </c>
      <c r="AG58">
        <v>0</v>
      </c>
      <c r="AH58">
        <v>0</v>
      </c>
      <c r="AI58">
        <v>1</v>
      </c>
      <c r="AJ58">
        <v>5.31</v>
      </c>
      <c r="AK58">
        <v>32.51</v>
      </c>
      <c r="AL58">
        <v>1</v>
      </c>
      <c r="AM58">
        <v>2</v>
      </c>
      <c r="AN58">
        <v>0</v>
      </c>
      <c r="AO58">
        <v>1</v>
      </c>
      <c r="AP58">
        <v>1</v>
      </c>
      <c r="AQ58">
        <v>0</v>
      </c>
      <c r="AR58">
        <v>0</v>
      </c>
      <c r="AS58" t="s">
        <v>3</v>
      </c>
      <c r="AT58">
        <v>5.57</v>
      </c>
      <c r="AU58" t="s">
        <v>3</v>
      </c>
      <c r="AV58">
        <v>0</v>
      </c>
      <c r="AW58">
        <v>2</v>
      </c>
      <c r="AX58">
        <v>40777284</v>
      </c>
      <c r="AY58">
        <v>1</v>
      </c>
      <c r="AZ58">
        <v>0</v>
      </c>
      <c r="BA58">
        <v>58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V58">
        <v>0</v>
      </c>
      <c r="CW58">
        <f>ROUND(Y58*Source!I36,9)</f>
        <v>2.7850000000000001</v>
      </c>
      <c r="CX58">
        <f>ROUND(Y58*Source!I36,9)</f>
        <v>2.7850000000000001</v>
      </c>
      <c r="CY58">
        <f>AB58</f>
        <v>8.07</v>
      </c>
      <c r="CZ58">
        <f>AF58</f>
        <v>1.52</v>
      </c>
      <c r="DA58">
        <f>AJ58</f>
        <v>5.31</v>
      </c>
      <c r="DB58">
        <f t="shared" si="27"/>
        <v>8.4700000000000006</v>
      </c>
      <c r="DC58">
        <f t="shared" si="28"/>
        <v>0</v>
      </c>
      <c r="DD58" t="s">
        <v>3</v>
      </c>
      <c r="DE58" t="s">
        <v>3</v>
      </c>
      <c r="DF58">
        <f t="shared" si="25"/>
        <v>0</v>
      </c>
      <c r="DG58">
        <f>ROUND(ROUND(AF58*AJ58,2)*CX58,2)</f>
        <v>22.47</v>
      </c>
      <c r="DH58">
        <f>ROUND(ROUND(AG58*AK58,2)*CX58,2)</f>
        <v>0</v>
      </c>
      <c r="DI58">
        <f t="shared" si="15"/>
        <v>0</v>
      </c>
      <c r="DJ58">
        <f>DG58</f>
        <v>22.47</v>
      </c>
      <c r="DK58">
        <v>0</v>
      </c>
      <c r="DL58" t="s">
        <v>3</v>
      </c>
      <c r="DM58">
        <v>0</v>
      </c>
      <c r="DN58" t="s">
        <v>3</v>
      </c>
      <c r="DO58">
        <v>0</v>
      </c>
    </row>
    <row r="59" spans="1:119" x14ac:dyDescent="0.2">
      <c r="A59">
        <f>ROW(Source!A36)</f>
        <v>36</v>
      </c>
      <c r="B59">
        <v>40777027</v>
      </c>
      <c r="C59">
        <v>40777269</v>
      </c>
      <c r="D59">
        <v>38685182</v>
      </c>
      <c r="E59">
        <v>1</v>
      </c>
      <c r="F59">
        <v>1</v>
      </c>
      <c r="G59">
        <v>1</v>
      </c>
      <c r="H59">
        <v>2</v>
      </c>
      <c r="I59" t="s">
        <v>364</v>
      </c>
      <c r="J59" t="s">
        <v>365</v>
      </c>
      <c r="K59" t="s">
        <v>366</v>
      </c>
      <c r="L59">
        <v>1368</v>
      </c>
      <c r="N59">
        <v>1011</v>
      </c>
      <c r="O59" t="s">
        <v>325</v>
      </c>
      <c r="P59" t="s">
        <v>325</v>
      </c>
      <c r="Q59">
        <v>1</v>
      </c>
      <c r="W59">
        <v>0</v>
      </c>
      <c r="X59">
        <v>-892985829</v>
      </c>
      <c r="Y59">
        <f t="shared" si="26"/>
        <v>5.57</v>
      </c>
      <c r="AA59">
        <v>0</v>
      </c>
      <c r="AB59">
        <v>37.47</v>
      </c>
      <c r="AC59">
        <v>0</v>
      </c>
      <c r="AD59">
        <v>0</v>
      </c>
      <c r="AE59">
        <v>0</v>
      </c>
      <c r="AF59">
        <v>7.11</v>
      </c>
      <c r="AG59">
        <v>0</v>
      </c>
      <c r="AH59">
        <v>0</v>
      </c>
      <c r="AI59">
        <v>1</v>
      </c>
      <c r="AJ59">
        <v>5.27</v>
      </c>
      <c r="AK59">
        <v>32.51</v>
      </c>
      <c r="AL59">
        <v>1</v>
      </c>
      <c r="AM59">
        <v>2</v>
      </c>
      <c r="AN59">
        <v>0</v>
      </c>
      <c r="AO59">
        <v>1</v>
      </c>
      <c r="AP59">
        <v>1</v>
      </c>
      <c r="AQ59">
        <v>0</v>
      </c>
      <c r="AR59">
        <v>0</v>
      </c>
      <c r="AS59" t="s">
        <v>3</v>
      </c>
      <c r="AT59">
        <v>5.57</v>
      </c>
      <c r="AU59" t="s">
        <v>3</v>
      </c>
      <c r="AV59">
        <v>0</v>
      </c>
      <c r="AW59">
        <v>2</v>
      </c>
      <c r="AX59">
        <v>40777285</v>
      </c>
      <c r="AY59">
        <v>1</v>
      </c>
      <c r="AZ59">
        <v>0</v>
      </c>
      <c r="BA59">
        <v>59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V59">
        <v>0</v>
      </c>
      <c r="CW59">
        <f>ROUND(Y59*Source!I36,9)</f>
        <v>2.7850000000000001</v>
      </c>
      <c r="CX59">
        <f>ROUND(Y59*Source!I36,9)</f>
        <v>2.7850000000000001</v>
      </c>
      <c r="CY59">
        <f>AB59</f>
        <v>37.47</v>
      </c>
      <c r="CZ59">
        <f>AF59</f>
        <v>7.11</v>
      </c>
      <c r="DA59">
        <f>AJ59</f>
        <v>5.27</v>
      </c>
      <c r="DB59">
        <f t="shared" si="27"/>
        <v>39.6</v>
      </c>
      <c r="DC59">
        <f t="shared" si="28"/>
        <v>0</v>
      </c>
      <c r="DD59" t="s">
        <v>3</v>
      </c>
      <c r="DE59" t="s">
        <v>3</v>
      </c>
      <c r="DF59">
        <f t="shared" si="25"/>
        <v>0</v>
      </c>
      <c r="DG59">
        <f>ROUND(ROUND(AF59*AJ59,2)*CX59,2)</f>
        <v>104.35</v>
      </c>
      <c r="DH59">
        <f>ROUND(ROUND(AG59*AK59,2)*CX59,2)</f>
        <v>0</v>
      </c>
      <c r="DI59">
        <f t="shared" si="15"/>
        <v>0</v>
      </c>
      <c r="DJ59">
        <f>DG59</f>
        <v>104.35</v>
      </c>
      <c r="DK59">
        <v>0</v>
      </c>
      <c r="DL59" t="s">
        <v>3</v>
      </c>
      <c r="DM59">
        <v>0</v>
      </c>
      <c r="DN59" t="s">
        <v>3</v>
      </c>
      <c r="DO59">
        <v>0</v>
      </c>
    </row>
    <row r="60" spans="1:119" x14ac:dyDescent="0.2">
      <c r="A60">
        <f>ROW(Source!A36)</f>
        <v>36</v>
      </c>
      <c r="B60">
        <v>40777027</v>
      </c>
      <c r="C60">
        <v>40777269</v>
      </c>
      <c r="D60">
        <v>38685221</v>
      </c>
      <c r="E60">
        <v>1</v>
      </c>
      <c r="F60">
        <v>1</v>
      </c>
      <c r="G60">
        <v>1</v>
      </c>
      <c r="H60">
        <v>2</v>
      </c>
      <c r="I60" t="s">
        <v>389</v>
      </c>
      <c r="J60" t="s">
        <v>390</v>
      </c>
      <c r="K60" t="s">
        <v>391</v>
      </c>
      <c r="L60">
        <v>1368</v>
      </c>
      <c r="N60">
        <v>1011</v>
      </c>
      <c r="O60" t="s">
        <v>325</v>
      </c>
      <c r="P60" t="s">
        <v>325</v>
      </c>
      <c r="Q60">
        <v>1</v>
      </c>
      <c r="W60">
        <v>0</v>
      </c>
      <c r="X60">
        <v>-535747227</v>
      </c>
      <c r="Y60">
        <f t="shared" si="26"/>
        <v>7.42</v>
      </c>
      <c r="AA60">
        <v>0</v>
      </c>
      <c r="AB60">
        <v>2058.92</v>
      </c>
      <c r="AC60">
        <v>393.37</v>
      </c>
      <c r="AD60">
        <v>0</v>
      </c>
      <c r="AE60">
        <v>0</v>
      </c>
      <c r="AF60">
        <v>155.38999999999999</v>
      </c>
      <c r="AG60">
        <v>12.1</v>
      </c>
      <c r="AH60">
        <v>0</v>
      </c>
      <c r="AI60">
        <v>1</v>
      </c>
      <c r="AJ60">
        <v>13.25</v>
      </c>
      <c r="AK60">
        <v>32.51</v>
      </c>
      <c r="AL60">
        <v>1</v>
      </c>
      <c r="AM60">
        <v>2</v>
      </c>
      <c r="AN60">
        <v>0</v>
      </c>
      <c r="AO60">
        <v>1</v>
      </c>
      <c r="AP60">
        <v>1</v>
      </c>
      <c r="AQ60">
        <v>0</v>
      </c>
      <c r="AR60">
        <v>0</v>
      </c>
      <c r="AS60" t="s">
        <v>3</v>
      </c>
      <c r="AT60">
        <v>7.42</v>
      </c>
      <c r="AU60" t="s">
        <v>3</v>
      </c>
      <c r="AV60">
        <v>0</v>
      </c>
      <c r="AW60">
        <v>2</v>
      </c>
      <c r="AX60">
        <v>40777286</v>
      </c>
      <c r="AY60">
        <v>1</v>
      </c>
      <c r="AZ60">
        <v>0</v>
      </c>
      <c r="BA60">
        <v>60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V60">
        <v>0</v>
      </c>
      <c r="CW60">
        <f>ROUND(Y60*Source!I36,9)</f>
        <v>3.71</v>
      </c>
      <c r="CX60">
        <f>ROUND(Y60*Source!I36,9)</f>
        <v>3.71</v>
      </c>
      <c r="CY60">
        <f>AB60</f>
        <v>2058.92</v>
      </c>
      <c r="CZ60">
        <f>AF60</f>
        <v>155.38999999999999</v>
      </c>
      <c r="DA60">
        <f>AJ60</f>
        <v>13.25</v>
      </c>
      <c r="DB60">
        <f t="shared" si="27"/>
        <v>1152.99</v>
      </c>
      <c r="DC60">
        <f t="shared" si="28"/>
        <v>89.78</v>
      </c>
      <c r="DD60" t="s">
        <v>3</v>
      </c>
      <c r="DE60" t="s">
        <v>3</v>
      </c>
      <c r="DF60">
        <f t="shared" si="25"/>
        <v>0</v>
      </c>
      <c r="DG60">
        <f>ROUND(ROUND(AF60*AJ60,2)*CX60,2)</f>
        <v>7638.59</v>
      </c>
      <c r="DH60">
        <f>ROUND(ROUND(AG60*AK60,2)*CX60,2)</f>
        <v>1459.4</v>
      </c>
      <c r="DI60">
        <f t="shared" si="15"/>
        <v>0</v>
      </c>
      <c r="DJ60">
        <f>DG60</f>
        <v>7638.59</v>
      </c>
      <c r="DK60">
        <v>0</v>
      </c>
      <c r="DL60" t="s">
        <v>3</v>
      </c>
      <c r="DM60">
        <v>0</v>
      </c>
      <c r="DN60" t="s">
        <v>3</v>
      </c>
      <c r="DO60">
        <v>0</v>
      </c>
    </row>
    <row r="61" spans="1:119" x14ac:dyDescent="0.2">
      <c r="A61">
        <f>ROW(Source!A36)</f>
        <v>36</v>
      </c>
      <c r="B61">
        <v>40777027</v>
      </c>
      <c r="C61">
        <v>40777269</v>
      </c>
      <c r="D61">
        <v>38686926</v>
      </c>
      <c r="E61">
        <v>1</v>
      </c>
      <c r="F61">
        <v>1</v>
      </c>
      <c r="G61">
        <v>1</v>
      </c>
      <c r="H61">
        <v>2</v>
      </c>
      <c r="I61" t="s">
        <v>367</v>
      </c>
      <c r="J61" t="s">
        <v>368</v>
      </c>
      <c r="K61" t="s">
        <v>369</v>
      </c>
      <c r="L61">
        <v>1368</v>
      </c>
      <c r="N61">
        <v>1011</v>
      </c>
      <c r="O61" t="s">
        <v>325</v>
      </c>
      <c r="P61" t="s">
        <v>325</v>
      </c>
      <c r="Q61">
        <v>1</v>
      </c>
      <c r="W61">
        <v>0</v>
      </c>
      <c r="X61">
        <v>-671646184</v>
      </c>
      <c r="Y61">
        <f t="shared" si="26"/>
        <v>0.2</v>
      </c>
      <c r="AA61">
        <v>0</v>
      </c>
      <c r="AB61">
        <v>1271.79</v>
      </c>
      <c r="AC61">
        <v>336.48</v>
      </c>
      <c r="AD61">
        <v>0</v>
      </c>
      <c r="AE61">
        <v>0</v>
      </c>
      <c r="AF61">
        <v>91.76</v>
      </c>
      <c r="AG61">
        <v>10.35</v>
      </c>
      <c r="AH61">
        <v>0</v>
      </c>
      <c r="AI61">
        <v>1</v>
      </c>
      <c r="AJ61">
        <v>13.86</v>
      </c>
      <c r="AK61">
        <v>32.51</v>
      </c>
      <c r="AL61">
        <v>1</v>
      </c>
      <c r="AM61">
        <v>2</v>
      </c>
      <c r="AN61">
        <v>0</v>
      </c>
      <c r="AO61">
        <v>1</v>
      </c>
      <c r="AP61">
        <v>1</v>
      </c>
      <c r="AQ61">
        <v>0</v>
      </c>
      <c r="AR61">
        <v>0</v>
      </c>
      <c r="AS61" t="s">
        <v>3</v>
      </c>
      <c r="AT61">
        <v>0.2</v>
      </c>
      <c r="AU61" t="s">
        <v>3</v>
      </c>
      <c r="AV61">
        <v>0</v>
      </c>
      <c r="AW61">
        <v>2</v>
      </c>
      <c r="AX61">
        <v>40777287</v>
      </c>
      <c r="AY61">
        <v>1</v>
      </c>
      <c r="AZ61">
        <v>0</v>
      </c>
      <c r="BA61">
        <v>61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V61">
        <v>0</v>
      </c>
      <c r="CW61">
        <f>ROUND(Y61*Source!I36,9)</f>
        <v>0.1</v>
      </c>
      <c r="CX61">
        <f>ROUND(Y61*Source!I36,9)</f>
        <v>0.1</v>
      </c>
      <c r="CY61">
        <f>AB61</f>
        <v>1271.79</v>
      </c>
      <c r="CZ61">
        <f>AF61</f>
        <v>91.76</v>
      </c>
      <c r="DA61">
        <f>AJ61</f>
        <v>13.86</v>
      </c>
      <c r="DB61">
        <f t="shared" si="27"/>
        <v>18.350000000000001</v>
      </c>
      <c r="DC61">
        <f t="shared" si="28"/>
        <v>2.0699999999999998</v>
      </c>
      <c r="DD61" t="s">
        <v>3</v>
      </c>
      <c r="DE61" t="s">
        <v>3</v>
      </c>
      <c r="DF61">
        <f t="shared" si="25"/>
        <v>0</v>
      </c>
      <c r="DG61">
        <f>ROUND(ROUND(AF61*AJ61,2)*CX61,2)</f>
        <v>127.18</v>
      </c>
      <c r="DH61">
        <f>ROUND(ROUND(AG61*AK61,2)*CX61,2)</f>
        <v>33.65</v>
      </c>
      <c r="DI61">
        <f t="shared" si="15"/>
        <v>0</v>
      </c>
      <c r="DJ61">
        <f>DG61</f>
        <v>127.18</v>
      </c>
      <c r="DK61">
        <v>0</v>
      </c>
      <c r="DL61" t="s">
        <v>3</v>
      </c>
      <c r="DM61">
        <v>0</v>
      </c>
      <c r="DN61" t="s">
        <v>3</v>
      </c>
      <c r="DO61">
        <v>0</v>
      </c>
    </row>
    <row r="62" spans="1:119" x14ac:dyDescent="0.2">
      <c r="A62">
        <f>ROW(Source!A36)</f>
        <v>36</v>
      </c>
      <c r="B62">
        <v>40777027</v>
      </c>
      <c r="C62">
        <v>40777269</v>
      </c>
      <c r="D62">
        <v>38623941</v>
      </c>
      <c r="E62">
        <v>1</v>
      </c>
      <c r="F62">
        <v>1</v>
      </c>
      <c r="G62">
        <v>1</v>
      </c>
      <c r="H62">
        <v>3</v>
      </c>
      <c r="I62" t="s">
        <v>370</v>
      </c>
      <c r="J62" t="s">
        <v>371</v>
      </c>
      <c r="K62" t="s">
        <v>372</v>
      </c>
      <c r="L62">
        <v>1308</v>
      </c>
      <c r="N62">
        <v>1003</v>
      </c>
      <c r="O62" t="s">
        <v>373</v>
      </c>
      <c r="P62" t="s">
        <v>373</v>
      </c>
      <c r="Q62">
        <v>100</v>
      </c>
      <c r="W62">
        <v>0</v>
      </c>
      <c r="X62">
        <v>-737867663</v>
      </c>
      <c r="Y62">
        <f>(AT62*0)</f>
        <v>0</v>
      </c>
      <c r="AA62">
        <v>767.34</v>
      </c>
      <c r="AB62">
        <v>0</v>
      </c>
      <c r="AC62">
        <v>0</v>
      </c>
      <c r="AD62">
        <v>0</v>
      </c>
      <c r="AE62">
        <v>121.8</v>
      </c>
      <c r="AF62">
        <v>0</v>
      </c>
      <c r="AG62">
        <v>0</v>
      </c>
      <c r="AH62">
        <v>0</v>
      </c>
      <c r="AI62">
        <v>6.3</v>
      </c>
      <c r="AJ62">
        <v>1</v>
      </c>
      <c r="AK62">
        <v>1</v>
      </c>
      <c r="AL62">
        <v>1</v>
      </c>
      <c r="AM62">
        <v>2</v>
      </c>
      <c r="AN62">
        <v>0</v>
      </c>
      <c r="AO62">
        <v>1</v>
      </c>
      <c r="AP62">
        <v>1</v>
      </c>
      <c r="AQ62">
        <v>0</v>
      </c>
      <c r="AR62">
        <v>0</v>
      </c>
      <c r="AS62" t="s">
        <v>3</v>
      </c>
      <c r="AT62">
        <v>2.4500000000000001E-2</v>
      </c>
      <c r="AU62" t="s">
        <v>19</v>
      </c>
      <c r="AV62">
        <v>0</v>
      </c>
      <c r="AW62">
        <v>2</v>
      </c>
      <c r="AX62">
        <v>40777288</v>
      </c>
      <c r="AY62">
        <v>1</v>
      </c>
      <c r="AZ62">
        <v>0</v>
      </c>
      <c r="BA62">
        <v>62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V62">
        <v>0</v>
      </c>
      <c r="CW62">
        <v>0</v>
      </c>
      <c r="CX62">
        <f>ROUND(Y62*Source!I36,9)</f>
        <v>0</v>
      </c>
      <c r="CY62">
        <f>AA62</f>
        <v>767.34</v>
      </c>
      <c r="CZ62">
        <f>AE62</f>
        <v>121.8</v>
      </c>
      <c r="DA62">
        <f>AI62</f>
        <v>6.3</v>
      </c>
      <c r="DB62">
        <f>ROUND((ROUND(AT62*CZ62,2)*0),2)</f>
        <v>0</v>
      </c>
      <c r="DC62">
        <f>ROUND((ROUND(AT62*AG62,2)*0),2)</f>
        <v>0</v>
      </c>
      <c r="DD62" t="s">
        <v>3</v>
      </c>
      <c r="DE62" t="s">
        <v>3</v>
      </c>
      <c r="DF62">
        <f>ROUND(ROUND(AE62*AI62,2)*CX62,2)</f>
        <v>0</v>
      </c>
      <c r="DG62">
        <f t="shared" ref="DG62:DG78" si="29">ROUND(ROUND(AF62,2)*CX62,2)</f>
        <v>0</v>
      </c>
      <c r="DH62">
        <f t="shared" ref="DH62:DH78" si="30">ROUND(ROUND(AG62,2)*CX62,2)</f>
        <v>0</v>
      </c>
      <c r="DI62">
        <f t="shared" si="15"/>
        <v>0</v>
      </c>
      <c r="DJ62">
        <f>DF62</f>
        <v>0</v>
      </c>
      <c r="DK62">
        <v>0</v>
      </c>
      <c r="DL62" t="s">
        <v>3</v>
      </c>
      <c r="DM62">
        <v>0</v>
      </c>
      <c r="DN62" t="s">
        <v>3</v>
      </c>
      <c r="DO62">
        <v>0</v>
      </c>
    </row>
    <row r="63" spans="1:119" x14ac:dyDescent="0.2">
      <c r="A63">
        <f>ROW(Source!A36)</f>
        <v>36</v>
      </c>
      <c r="B63">
        <v>40777027</v>
      </c>
      <c r="C63">
        <v>40777269</v>
      </c>
      <c r="D63">
        <v>38634896</v>
      </c>
      <c r="E63">
        <v>1</v>
      </c>
      <c r="F63">
        <v>1</v>
      </c>
      <c r="G63">
        <v>1</v>
      </c>
      <c r="H63">
        <v>3</v>
      </c>
      <c r="I63" t="s">
        <v>374</v>
      </c>
      <c r="J63" t="s">
        <v>375</v>
      </c>
      <c r="K63" t="s">
        <v>376</v>
      </c>
      <c r="L63">
        <v>1348</v>
      </c>
      <c r="N63">
        <v>1009</v>
      </c>
      <c r="O63" t="s">
        <v>119</v>
      </c>
      <c r="P63" t="s">
        <v>119</v>
      </c>
      <c r="Q63">
        <v>1000</v>
      </c>
      <c r="W63">
        <v>0</v>
      </c>
      <c r="X63">
        <v>-1286039561</v>
      </c>
      <c r="Y63">
        <f>(AT63*0)</f>
        <v>0</v>
      </c>
      <c r="AA63">
        <v>77557.919999999998</v>
      </c>
      <c r="AB63">
        <v>0</v>
      </c>
      <c r="AC63">
        <v>0</v>
      </c>
      <c r="AD63">
        <v>0</v>
      </c>
      <c r="AE63">
        <v>9528</v>
      </c>
      <c r="AF63">
        <v>0</v>
      </c>
      <c r="AG63">
        <v>0</v>
      </c>
      <c r="AH63">
        <v>0</v>
      </c>
      <c r="AI63">
        <v>8.14</v>
      </c>
      <c r="AJ63">
        <v>1</v>
      </c>
      <c r="AK63">
        <v>1</v>
      </c>
      <c r="AL63">
        <v>1</v>
      </c>
      <c r="AM63">
        <v>2</v>
      </c>
      <c r="AN63">
        <v>0</v>
      </c>
      <c r="AO63">
        <v>1</v>
      </c>
      <c r="AP63">
        <v>1</v>
      </c>
      <c r="AQ63">
        <v>0</v>
      </c>
      <c r="AR63">
        <v>0</v>
      </c>
      <c r="AS63" t="s">
        <v>3</v>
      </c>
      <c r="AT63">
        <v>2.8800000000000002E-3</v>
      </c>
      <c r="AU63" t="s">
        <v>19</v>
      </c>
      <c r="AV63">
        <v>0</v>
      </c>
      <c r="AW63">
        <v>2</v>
      </c>
      <c r="AX63">
        <v>40777289</v>
      </c>
      <c r="AY63">
        <v>1</v>
      </c>
      <c r="AZ63">
        <v>0</v>
      </c>
      <c r="BA63">
        <v>63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V63">
        <v>0</v>
      </c>
      <c r="CW63">
        <v>0</v>
      </c>
      <c r="CX63">
        <f>ROUND(Y63*Source!I36,9)</f>
        <v>0</v>
      </c>
      <c r="CY63">
        <f>AA63</f>
        <v>77557.919999999998</v>
      </c>
      <c r="CZ63">
        <f>AE63</f>
        <v>9528</v>
      </c>
      <c r="DA63">
        <f>AI63</f>
        <v>8.14</v>
      </c>
      <c r="DB63">
        <f>ROUND((ROUND(AT63*CZ63,2)*0),2)</f>
        <v>0</v>
      </c>
      <c r="DC63">
        <f>ROUND((ROUND(AT63*AG63,2)*0),2)</f>
        <v>0</v>
      </c>
      <c r="DD63" t="s">
        <v>3</v>
      </c>
      <c r="DE63" t="s">
        <v>3</v>
      </c>
      <c r="DF63">
        <f>ROUND(ROUND(AE63*AI63,2)*CX63,2)</f>
        <v>0</v>
      </c>
      <c r="DG63">
        <f t="shared" si="29"/>
        <v>0</v>
      </c>
      <c r="DH63">
        <f t="shared" si="30"/>
        <v>0</v>
      </c>
      <c r="DI63">
        <f t="shared" si="15"/>
        <v>0</v>
      </c>
      <c r="DJ63">
        <f>DF63</f>
        <v>0</v>
      </c>
      <c r="DK63">
        <v>0</v>
      </c>
      <c r="DL63" t="s">
        <v>3</v>
      </c>
      <c r="DM63">
        <v>0</v>
      </c>
      <c r="DN63" t="s">
        <v>3</v>
      </c>
      <c r="DO63">
        <v>0</v>
      </c>
    </row>
    <row r="64" spans="1:119" x14ac:dyDescent="0.2">
      <c r="A64">
        <f>ROW(Source!A36)</f>
        <v>36</v>
      </c>
      <c r="B64">
        <v>40777027</v>
      </c>
      <c r="C64">
        <v>40777269</v>
      </c>
      <c r="D64">
        <v>38671537</v>
      </c>
      <c r="E64">
        <v>1</v>
      </c>
      <c r="F64">
        <v>1</v>
      </c>
      <c r="G64">
        <v>1</v>
      </c>
      <c r="H64">
        <v>3</v>
      </c>
      <c r="I64" t="s">
        <v>377</v>
      </c>
      <c r="J64" t="s">
        <v>378</v>
      </c>
      <c r="K64" t="s">
        <v>379</v>
      </c>
      <c r="L64">
        <v>1346</v>
      </c>
      <c r="N64">
        <v>1009</v>
      </c>
      <c r="O64" t="s">
        <v>141</v>
      </c>
      <c r="P64" t="s">
        <v>141</v>
      </c>
      <c r="Q64">
        <v>1</v>
      </c>
      <c r="W64">
        <v>0</v>
      </c>
      <c r="X64">
        <v>904967830</v>
      </c>
      <c r="Y64">
        <f>(AT64*0)</f>
        <v>0</v>
      </c>
      <c r="AA64">
        <v>533.02</v>
      </c>
      <c r="AB64">
        <v>0</v>
      </c>
      <c r="AC64">
        <v>0</v>
      </c>
      <c r="AD64">
        <v>0</v>
      </c>
      <c r="AE64">
        <v>71.45</v>
      </c>
      <c r="AF64">
        <v>0</v>
      </c>
      <c r="AG64">
        <v>0</v>
      </c>
      <c r="AH64">
        <v>0</v>
      </c>
      <c r="AI64">
        <v>7.46</v>
      </c>
      <c r="AJ64">
        <v>1</v>
      </c>
      <c r="AK64">
        <v>1</v>
      </c>
      <c r="AL64">
        <v>1</v>
      </c>
      <c r="AM64">
        <v>2</v>
      </c>
      <c r="AN64">
        <v>0</v>
      </c>
      <c r="AO64">
        <v>1</v>
      </c>
      <c r="AP64">
        <v>1</v>
      </c>
      <c r="AQ64">
        <v>0</v>
      </c>
      <c r="AR64">
        <v>0</v>
      </c>
      <c r="AS64" t="s">
        <v>3</v>
      </c>
      <c r="AT64">
        <v>0.5</v>
      </c>
      <c r="AU64" t="s">
        <v>19</v>
      </c>
      <c r="AV64">
        <v>0</v>
      </c>
      <c r="AW64">
        <v>2</v>
      </c>
      <c r="AX64">
        <v>40777290</v>
      </c>
      <c r="AY64">
        <v>1</v>
      </c>
      <c r="AZ64">
        <v>0</v>
      </c>
      <c r="BA64">
        <v>64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V64">
        <v>0</v>
      </c>
      <c r="CW64">
        <v>0</v>
      </c>
      <c r="CX64">
        <f>ROUND(Y64*Source!I36,9)</f>
        <v>0</v>
      </c>
      <c r="CY64">
        <f>AA64</f>
        <v>533.02</v>
      </c>
      <c r="CZ64">
        <f>AE64</f>
        <v>71.45</v>
      </c>
      <c r="DA64">
        <f>AI64</f>
        <v>7.46</v>
      </c>
      <c r="DB64">
        <f>ROUND((ROUND(AT64*CZ64,2)*0),2)</f>
        <v>0</v>
      </c>
      <c r="DC64">
        <f>ROUND((ROUND(AT64*AG64,2)*0),2)</f>
        <v>0</v>
      </c>
      <c r="DD64" t="s">
        <v>3</v>
      </c>
      <c r="DE64" t="s">
        <v>3</v>
      </c>
      <c r="DF64">
        <f>ROUND(ROUND(AE64*AI64,2)*CX64,2)</f>
        <v>0</v>
      </c>
      <c r="DG64">
        <f t="shared" si="29"/>
        <v>0</v>
      </c>
      <c r="DH64">
        <f t="shared" si="30"/>
        <v>0</v>
      </c>
      <c r="DI64">
        <f t="shared" si="15"/>
        <v>0</v>
      </c>
      <c r="DJ64">
        <f>DF64</f>
        <v>0</v>
      </c>
      <c r="DK64">
        <v>0</v>
      </c>
      <c r="DL64" t="s">
        <v>3</v>
      </c>
      <c r="DM64">
        <v>0</v>
      </c>
      <c r="DN64" t="s">
        <v>3</v>
      </c>
      <c r="DO64">
        <v>0</v>
      </c>
    </row>
    <row r="65" spans="1:119" x14ac:dyDescent="0.2">
      <c r="A65">
        <f>ROW(Source!A36)</f>
        <v>36</v>
      </c>
      <c r="B65">
        <v>40777027</v>
      </c>
      <c r="C65">
        <v>40777269</v>
      </c>
      <c r="D65">
        <v>38684560</v>
      </c>
      <c r="E65">
        <v>1</v>
      </c>
      <c r="F65">
        <v>1</v>
      </c>
      <c r="G65">
        <v>1</v>
      </c>
      <c r="H65">
        <v>3</v>
      </c>
      <c r="I65" t="s">
        <v>354</v>
      </c>
      <c r="J65" t="s">
        <v>355</v>
      </c>
      <c r="K65" t="s">
        <v>356</v>
      </c>
      <c r="L65">
        <v>1374</v>
      </c>
      <c r="N65">
        <v>1013</v>
      </c>
      <c r="O65" t="s">
        <v>357</v>
      </c>
      <c r="P65" t="s">
        <v>357</v>
      </c>
      <c r="Q65">
        <v>1</v>
      </c>
      <c r="W65">
        <v>0</v>
      </c>
      <c r="X65">
        <v>2131831278</v>
      </c>
      <c r="Y65">
        <f>(AT65*0)</f>
        <v>0</v>
      </c>
      <c r="AA65">
        <v>1</v>
      </c>
      <c r="AB65">
        <v>0</v>
      </c>
      <c r="AC65">
        <v>0</v>
      </c>
      <c r="AD65">
        <v>0</v>
      </c>
      <c r="AE65">
        <v>1</v>
      </c>
      <c r="AF65">
        <v>0</v>
      </c>
      <c r="AG65">
        <v>0</v>
      </c>
      <c r="AH65">
        <v>0</v>
      </c>
      <c r="AI65">
        <v>1</v>
      </c>
      <c r="AJ65">
        <v>1</v>
      </c>
      <c r="AK65">
        <v>1</v>
      </c>
      <c r="AL65">
        <v>1</v>
      </c>
      <c r="AM65">
        <v>-2</v>
      </c>
      <c r="AN65">
        <v>0</v>
      </c>
      <c r="AO65">
        <v>1</v>
      </c>
      <c r="AP65">
        <v>1</v>
      </c>
      <c r="AQ65">
        <v>0</v>
      </c>
      <c r="AR65">
        <v>0</v>
      </c>
      <c r="AS65" t="s">
        <v>3</v>
      </c>
      <c r="AT65">
        <v>4.37</v>
      </c>
      <c r="AU65" t="s">
        <v>19</v>
      </c>
      <c r="AV65">
        <v>0</v>
      </c>
      <c r="AW65">
        <v>2</v>
      </c>
      <c r="AX65">
        <v>40777291</v>
      </c>
      <c r="AY65">
        <v>1</v>
      </c>
      <c r="AZ65">
        <v>0</v>
      </c>
      <c r="BA65">
        <v>65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V65">
        <v>0</v>
      </c>
      <c r="CW65">
        <v>0</v>
      </c>
      <c r="CX65">
        <f>ROUND(Y65*Source!I36,9)</f>
        <v>0</v>
      </c>
      <c r="CY65">
        <f>AA65</f>
        <v>1</v>
      </c>
      <c r="CZ65">
        <f>AE65</f>
        <v>1</v>
      </c>
      <c r="DA65">
        <f>AI65</f>
        <v>1</v>
      </c>
      <c r="DB65">
        <f>ROUND((ROUND(AT65*CZ65,2)*0),2)</f>
        <v>0</v>
      </c>
      <c r="DC65">
        <f>ROUND((ROUND(AT65*AG65,2)*0),2)</f>
        <v>0</v>
      </c>
      <c r="DD65" t="s">
        <v>3</v>
      </c>
      <c r="DE65" t="s">
        <v>3</v>
      </c>
      <c r="DF65">
        <f>ROUND(ROUND(AE65,2)*CX65,2)</f>
        <v>0</v>
      </c>
      <c r="DG65">
        <f t="shared" si="29"/>
        <v>0</v>
      </c>
      <c r="DH65">
        <f t="shared" si="30"/>
        <v>0</v>
      </c>
      <c r="DI65">
        <f t="shared" ref="DI65:DI96" si="31">ROUND(ROUND(AH65,2)*CX65,2)</f>
        <v>0</v>
      </c>
      <c r="DJ65">
        <f>DF65</f>
        <v>0</v>
      </c>
      <c r="DK65">
        <v>0</v>
      </c>
      <c r="DL65" t="s">
        <v>3</v>
      </c>
      <c r="DM65">
        <v>0</v>
      </c>
      <c r="DN65" t="s">
        <v>3</v>
      </c>
      <c r="DO65">
        <v>0</v>
      </c>
    </row>
    <row r="66" spans="1:119" x14ac:dyDescent="0.2">
      <c r="A66">
        <f>ROW(Source!A37)</f>
        <v>37</v>
      </c>
      <c r="B66">
        <v>40777027</v>
      </c>
      <c r="C66">
        <v>40777292</v>
      </c>
      <c r="D66">
        <v>23351395</v>
      </c>
      <c r="E66">
        <v>1</v>
      </c>
      <c r="F66">
        <v>1</v>
      </c>
      <c r="G66">
        <v>1</v>
      </c>
      <c r="H66">
        <v>1</v>
      </c>
      <c r="I66" t="s">
        <v>343</v>
      </c>
      <c r="J66" t="s">
        <v>3</v>
      </c>
      <c r="K66" t="s">
        <v>344</v>
      </c>
      <c r="L66">
        <v>1369</v>
      </c>
      <c r="N66">
        <v>1013</v>
      </c>
      <c r="O66" t="s">
        <v>319</v>
      </c>
      <c r="P66" t="s">
        <v>319</v>
      </c>
      <c r="Q66">
        <v>1</v>
      </c>
      <c r="W66">
        <v>0</v>
      </c>
      <c r="X66">
        <v>1072260845</v>
      </c>
      <c r="Y66">
        <f>AT66</f>
        <v>13.4</v>
      </c>
      <c r="AA66">
        <v>0</v>
      </c>
      <c r="AB66">
        <v>0</v>
      </c>
      <c r="AC66">
        <v>0</v>
      </c>
      <c r="AD66">
        <v>8.99</v>
      </c>
      <c r="AE66">
        <v>0</v>
      </c>
      <c r="AF66">
        <v>0</v>
      </c>
      <c r="AG66">
        <v>0</v>
      </c>
      <c r="AH66">
        <v>8.99</v>
      </c>
      <c r="AI66">
        <v>1</v>
      </c>
      <c r="AJ66">
        <v>1</v>
      </c>
      <c r="AK66">
        <v>1</v>
      </c>
      <c r="AL66">
        <v>1</v>
      </c>
      <c r="AM66">
        <v>-2</v>
      </c>
      <c r="AN66">
        <v>0</v>
      </c>
      <c r="AO66">
        <v>1</v>
      </c>
      <c r="AP66">
        <v>1</v>
      </c>
      <c r="AQ66">
        <v>0</v>
      </c>
      <c r="AR66">
        <v>0</v>
      </c>
      <c r="AS66" t="s">
        <v>3</v>
      </c>
      <c r="AT66">
        <v>13.4</v>
      </c>
      <c r="AU66" t="s">
        <v>3</v>
      </c>
      <c r="AV66">
        <v>1</v>
      </c>
      <c r="AW66">
        <v>2</v>
      </c>
      <c r="AX66">
        <v>40777304</v>
      </c>
      <c r="AY66">
        <v>1</v>
      </c>
      <c r="AZ66">
        <v>0</v>
      </c>
      <c r="BA66">
        <v>66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U66">
        <f>ROUND(AT66*Source!I37*AH66*AL66,2)</f>
        <v>481.86</v>
      </c>
      <c r="CV66">
        <f>ROUND(Y66*Source!I37,9)</f>
        <v>53.6</v>
      </c>
      <c r="CW66">
        <v>0</v>
      </c>
      <c r="CX66">
        <f>ROUND(Y66*Source!I37,9)</f>
        <v>53.6</v>
      </c>
      <c r="CY66">
        <f>AD66</f>
        <v>8.99</v>
      </c>
      <c r="CZ66">
        <f>AH66</f>
        <v>8.99</v>
      </c>
      <c r="DA66">
        <f>AL66</f>
        <v>1</v>
      </c>
      <c r="DB66">
        <f>ROUND(ROUND(AT66*CZ66,2),2)</f>
        <v>120.47</v>
      </c>
      <c r="DC66">
        <f>ROUND(ROUND(AT66*AG66,2),2)</f>
        <v>0</v>
      </c>
      <c r="DD66" t="s">
        <v>3</v>
      </c>
      <c r="DE66" t="s">
        <v>3</v>
      </c>
      <c r="DF66">
        <f>ROUND(ROUND(AE66,2)*CX66,2)</f>
        <v>0</v>
      </c>
      <c r="DG66">
        <f t="shared" si="29"/>
        <v>0</v>
      </c>
      <c r="DH66">
        <f t="shared" si="30"/>
        <v>0</v>
      </c>
      <c r="DI66">
        <f t="shared" si="31"/>
        <v>481.86</v>
      </c>
      <c r="DJ66">
        <f>DI66</f>
        <v>481.86</v>
      </c>
      <c r="DK66">
        <v>0</v>
      </c>
      <c r="DL66" t="s">
        <v>3</v>
      </c>
      <c r="DM66">
        <v>0</v>
      </c>
      <c r="DN66" t="s">
        <v>3</v>
      </c>
      <c r="DO66">
        <v>0</v>
      </c>
    </row>
    <row r="67" spans="1:119" x14ac:dyDescent="0.2">
      <c r="A67">
        <f>ROW(Source!A37)</f>
        <v>37</v>
      </c>
      <c r="B67">
        <v>40777027</v>
      </c>
      <c r="C67">
        <v>40777292</v>
      </c>
      <c r="D67">
        <v>38620813</v>
      </c>
      <c r="E67">
        <v>1</v>
      </c>
      <c r="F67">
        <v>1</v>
      </c>
      <c r="G67">
        <v>1</v>
      </c>
      <c r="H67">
        <v>3</v>
      </c>
      <c r="I67" t="s">
        <v>392</v>
      </c>
      <c r="J67" t="s">
        <v>393</v>
      </c>
      <c r="K67" t="s">
        <v>394</v>
      </c>
      <c r="L67">
        <v>1348</v>
      </c>
      <c r="N67">
        <v>1009</v>
      </c>
      <c r="O67" t="s">
        <v>119</v>
      </c>
      <c r="P67" t="s">
        <v>119</v>
      </c>
      <c r="Q67">
        <v>1000</v>
      </c>
      <c r="W67">
        <v>0</v>
      </c>
      <c r="X67">
        <v>-1057666604</v>
      </c>
      <c r="Y67">
        <f t="shared" ref="Y67:Y76" si="32">(AT67*0)</f>
        <v>0</v>
      </c>
      <c r="AA67">
        <v>96132.96</v>
      </c>
      <c r="AB67">
        <v>0</v>
      </c>
      <c r="AC67">
        <v>0</v>
      </c>
      <c r="AD67">
        <v>0</v>
      </c>
      <c r="AE67">
        <v>4488</v>
      </c>
      <c r="AF67">
        <v>0</v>
      </c>
      <c r="AG67">
        <v>0</v>
      </c>
      <c r="AH67">
        <v>0</v>
      </c>
      <c r="AI67">
        <v>21.42</v>
      </c>
      <c r="AJ67">
        <v>1</v>
      </c>
      <c r="AK67">
        <v>1</v>
      </c>
      <c r="AL67">
        <v>1</v>
      </c>
      <c r="AM67">
        <v>2</v>
      </c>
      <c r="AN67">
        <v>0</v>
      </c>
      <c r="AO67">
        <v>1</v>
      </c>
      <c r="AP67">
        <v>1</v>
      </c>
      <c r="AQ67">
        <v>0</v>
      </c>
      <c r="AR67">
        <v>0</v>
      </c>
      <c r="AS67" t="s">
        <v>3</v>
      </c>
      <c r="AT67">
        <v>5.0000000000000001E-4</v>
      </c>
      <c r="AU67" t="s">
        <v>19</v>
      </c>
      <c r="AV67">
        <v>0</v>
      </c>
      <c r="AW67">
        <v>2</v>
      </c>
      <c r="AX67">
        <v>40777305</v>
      </c>
      <c r="AY67">
        <v>1</v>
      </c>
      <c r="AZ67">
        <v>0</v>
      </c>
      <c r="BA67">
        <v>67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V67">
        <v>0</v>
      </c>
      <c r="CW67">
        <v>0</v>
      </c>
      <c r="CX67">
        <f>ROUND(Y67*Source!I37,9)</f>
        <v>0</v>
      </c>
      <c r="CY67">
        <f t="shared" ref="CY67:CY76" si="33">AA67</f>
        <v>96132.96</v>
      </c>
      <c r="CZ67">
        <f t="shared" ref="CZ67:CZ76" si="34">AE67</f>
        <v>4488</v>
      </c>
      <c r="DA67">
        <f t="shared" ref="DA67:DA76" si="35">AI67</f>
        <v>21.42</v>
      </c>
      <c r="DB67">
        <f t="shared" ref="DB67:DB76" si="36">ROUND((ROUND(AT67*CZ67,2)*0),2)</f>
        <v>0</v>
      </c>
      <c r="DC67">
        <f t="shared" ref="DC67:DC76" si="37">ROUND((ROUND(AT67*AG67,2)*0),2)</f>
        <v>0</v>
      </c>
      <c r="DD67" t="s">
        <v>3</v>
      </c>
      <c r="DE67" t="s">
        <v>3</v>
      </c>
      <c r="DF67">
        <f t="shared" ref="DF67:DF75" si="38">ROUND(ROUND(AE67*AI67,2)*CX67,2)</f>
        <v>0</v>
      </c>
      <c r="DG67">
        <f t="shared" si="29"/>
        <v>0</v>
      </c>
      <c r="DH67">
        <f t="shared" si="30"/>
        <v>0</v>
      </c>
      <c r="DI67">
        <f t="shared" si="31"/>
        <v>0</v>
      </c>
      <c r="DJ67">
        <f t="shared" ref="DJ67:DJ76" si="39">DF67</f>
        <v>0</v>
      </c>
      <c r="DK67">
        <v>0</v>
      </c>
      <c r="DL67" t="s">
        <v>3</v>
      </c>
      <c r="DM67">
        <v>0</v>
      </c>
      <c r="DN67" t="s">
        <v>3</v>
      </c>
      <c r="DO67">
        <v>0</v>
      </c>
    </row>
    <row r="68" spans="1:119" x14ac:dyDescent="0.2">
      <c r="A68">
        <f>ROW(Source!A37)</f>
        <v>37</v>
      </c>
      <c r="B68">
        <v>40777027</v>
      </c>
      <c r="C68">
        <v>40777292</v>
      </c>
      <c r="D68">
        <v>38623631</v>
      </c>
      <c r="E68">
        <v>1</v>
      </c>
      <c r="F68">
        <v>1</v>
      </c>
      <c r="G68">
        <v>1</v>
      </c>
      <c r="H68">
        <v>3</v>
      </c>
      <c r="I68" t="s">
        <v>395</v>
      </c>
      <c r="J68" t="s">
        <v>396</v>
      </c>
      <c r="K68" t="s">
        <v>397</v>
      </c>
      <c r="L68">
        <v>1348</v>
      </c>
      <c r="N68">
        <v>1009</v>
      </c>
      <c r="O68" t="s">
        <v>119</v>
      </c>
      <c r="P68" t="s">
        <v>119</v>
      </c>
      <c r="Q68">
        <v>1000</v>
      </c>
      <c r="W68">
        <v>0</v>
      </c>
      <c r="X68">
        <v>50180059</v>
      </c>
      <c r="Y68">
        <f t="shared" si="32"/>
        <v>0</v>
      </c>
      <c r="AA68">
        <v>273066.33</v>
      </c>
      <c r="AB68">
        <v>0</v>
      </c>
      <c r="AC68">
        <v>0</v>
      </c>
      <c r="AD68">
        <v>0</v>
      </c>
      <c r="AE68">
        <v>70197</v>
      </c>
      <c r="AF68">
        <v>0</v>
      </c>
      <c r="AG68">
        <v>0</v>
      </c>
      <c r="AH68">
        <v>0</v>
      </c>
      <c r="AI68">
        <v>3.89</v>
      </c>
      <c r="AJ68">
        <v>1</v>
      </c>
      <c r="AK68">
        <v>1</v>
      </c>
      <c r="AL68">
        <v>1</v>
      </c>
      <c r="AM68">
        <v>2</v>
      </c>
      <c r="AN68">
        <v>0</v>
      </c>
      <c r="AO68">
        <v>1</v>
      </c>
      <c r="AP68">
        <v>1</v>
      </c>
      <c r="AQ68">
        <v>0</v>
      </c>
      <c r="AR68">
        <v>0</v>
      </c>
      <c r="AS68" t="s">
        <v>3</v>
      </c>
      <c r="AT68">
        <v>2.0000000000000002E-5</v>
      </c>
      <c r="AU68" t="s">
        <v>19</v>
      </c>
      <c r="AV68">
        <v>0</v>
      </c>
      <c r="AW68">
        <v>2</v>
      </c>
      <c r="AX68">
        <v>40777306</v>
      </c>
      <c r="AY68">
        <v>1</v>
      </c>
      <c r="AZ68">
        <v>0</v>
      </c>
      <c r="BA68">
        <v>68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V68">
        <v>0</v>
      </c>
      <c r="CW68">
        <v>0</v>
      </c>
      <c r="CX68">
        <f>ROUND(Y68*Source!I37,9)</f>
        <v>0</v>
      </c>
      <c r="CY68">
        <f t="shared" si="33"/>
        <v>273066.33</v>
      </c>
      <c r="CZ68">
        <f t="shared" si="34"/>
        <v>70197</v>
      </c>
      <c r="DA68">
        <f t="shared" si="35"/>
        <v>3.89</v>
      </c>
      <c r="DB68">
        <f t="shared" si="36"/>
        <v>0</v>
      </c>
      <c r="DC68">
        <f t="shared" si="37"/>
        <v>0</v>
      </c>
      <c r="DD68" t="s">
        <v>3</v>
      </c>
      <c r="DE68" t="s">
        <v>3</v>
      </c>
      <c r="DF68">
        <f t="shared" si="38"/>
        <v>0</v>
      </c>
      <c r="DG68">
        <f t="shared" si="29"/>
        <v>0</v>
      </c>
      <c r="DH68">
        <f t="shared" si="30"/>
        <v>0</v>
      </c>
      <c r="DI68">
        <f t="shared" si="31"/>
        <v>0</v>
      </c>
      <c r="DJ68">
        <f t="shared" si="39"/>
        <v>0</v>
      </c>
      <c r="DK68">
        <v>0</v>
      </c>
      <c r="DL68" t="s">
        <v>3</v>
      </c>
      <c r="DM68">
        <v>0</v>
      </c>
      <c r="DN68" t="s">
        <v>3</v>
      </c>
      <c r="DO68">
        <v>0</v>
      </c>
    </row>
    <row r="69" spans="1:119" x14ac:dyDescent="0.2">
      <c r="A69">
        <f>ROW(Source!A37)</f>
        <v>37</v>
      </c>
      <c r="B69">
        <v>40777027</v>
      </c>
      <c r="C69">
        <v>40777292</v>
      </c>
      <c r="D69">
        <v>38620849</v>
      </c>
      <c r="E69">
        <v>1</v>
      </c>
      <c r="F69">
        <v>1</v>
      </c>
      <c r="G69">
        <v>1</v>
      </c>
      <c r="H69">
        <v>3</v>
      </c>
      <c r="I69" t="s">
        <v>398</v>
      </c>
      <c r="J69" t="s">
        <v>399</v>
      </c>
      <c r="K69" t="s">
        <v>400</v>
      </c>
      <c r="L69">
        <v>1346</v>
      </c>
      <c r="N69">
        <v>1009</v>
      </c>
      <c r="O69" t="s">
        <v>141</v>
      </c>
      <c r="P69" t="s">
        <v>141</v>
      </c>
      <c r="Q69">
        <v>1</v>
      </c>
      <c r="W69">
        <v>0</v>
      </c>
      <c r="X69">
        <v>873943321</v>
      </c>
      <c r="Y69">
        <f t="shared" si="32"/>
        <v>0</v>
      </c>
      <c r="AA69">
        <v>52.96</v>
      </c>
      <c r="AB69">
        <v>0</v>
      </c>
      <c r="AC69">
        <v>0</v>
      </c>
      <c r="AD69">
        <v>0</v>
      </c>
      <c r="AE69">
        <v>6.62</v>
      </c>
      <c r="AF69">
        <v>0</v>
      </c>
      <c r="AG69">
        <v>0</v>
      </c>
      <c r="AH69">
        <v>0</v>
      </c>
      <c r="AI69">
        <v>8</v>
      </c>
      <c r="AJ69">
        <v>1</v>
      </c>
      <c r="AK69">
        <v>1</v>
      </c>
      <c r="AL69">
        <v>1</v>
      </c>
      <c r="AM69">
        <v>2</v>
      </c>
      <c r="AN69">
        <v>0</v>
      </c>
      <c r="AO69">
        <v>1</v>
      </c>
      <c r="AP69">
        <v>1</v>
      </c>
      <c r="AQ69">
        <v>0</v>
      </c>
      <c r="AR69">
        <v>0</v>
      </c>
      <c r="AS69" t="s">
        <v>3</v>
      </c>
      <c r="AT69">
        <v>1</v>
      </c>
      <c r="AU69" t="s">
        <v>19</v>
      </c>
      <c r="AV69">
        <v>0</v>
      </c>
      <c r="AW69">
        <v>2</v>
      </c>
      <c r="AX69">
        <v>40777307</v>
      </c>
      <c r="AY69">
        <v>1</v>
      </c>
      <c r="AZ69">
        <v>0</v>
      </c>
      <c r="BA69">
        <v>69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V69">
        <v>0</v>
      </c>
      <c r="CW69">
        <v>0</v>
      </c>
      <c r="CX69">
        <f>ROUND(Y69*Source!I37,9)</f>
        <v>0</v>
      </c>
      <c r="CY69">
        <f t="shared" si="33"/>
        <v>52.96</v>
      </c>
      <c r="CZ69">
        <f t="shared" si="34"/>
        <v>6.62</v>
      </c>
      <c r="DA69">
        <f t="shared" si="35"/>
        <v>8</v>
      </c>
      <c r="DB69">
        <f t="shared" si="36"/>
        <v>0</v>
      </c>
      <c r="DC69">
        <f t="shared" si="37"/>
        <v>0</v>
      </c>
      <c r="DD69" t="s">
        <v>3</v>
      </c>
      <c r="DE69" t="s">
        <v>3</v>
      </c>
      <c r="DF69">
        <f t="shared" si="38"/>
        <v>0</v>
      </c>
      <c r="DG69">
        <f t="shared" si="29"/>
        <v>0</v>
      </c>
      <c r="DH69">
        <f t="shared" si="30"/>
        <v>0</v>
      </c>
      <c r="DI69">
        <f t="shared" si="31"/>
        <v>0</v>
      </c>
      <c r="DJ69">
        <f t="shared" si="39"/>
        <v>0</v>
      </c>
      <c r="DK69">
        <v>0</v>
      </c>
      <c r="DL69" t="s">
        <v>3</v>
      </c>
      <c r="DM69">
        <v>0</v>
      </c>
      <c r="DN69" t="s">
        <v>3</v>
      </c>
      <c r="DO69">
        <v>0</v>
      </c>
    </row>
    <row r="70" spans="1:119" x14ac:dyDescent="0.2">
      <c r="A70">
        <f>ROW(Source!A37)</f>
        <v>37</v>
      </c>
      <c r="B70">
        <v>40777027</v>
      </c>
      <c r="C70">
        <v>40777292</v>
      </c>
      <c r="D70">
        <v>38623980</v>
      </c>
      <c r="E70">
        <v>1</v>
      </c>
      <c r="F70">
        <v>1</v>
      </c>
      <c r="G70">
        <v>1</v>
      </c>
      <c r="H70">
        <v>3</v>
      </c>
      <c r="I70" t="s">
        <v>401</v>
      </c>
      <c r="J70" t="s">
        <v>402</v>
      </c>
      <c r="K70" t="s">
        <v>403</v>
      </c>
      <c r="L70">
        <v>1346</v>
      </c>
      <c r="N70">
        <v>1009</v>
      </c>
      <c r="O70" t="s">
        <v>141</v>
      </c>
      <c r="P70" t="s">
        <v>141</v>
      </c>
      <c r="Q70">
        <v>1</v>
      </c>
      <c r="W70">
        <v>0</v>
      </c>
      <c r="X70">
        <v>-572780356</v>
      </c>
      <c r="Y70">
        <f t="shared" si="32"/>
        <v>0</v>
      </c>
      <c r="AA70">
        <v>242.73</v>
      </c>
      <c r="AB70">
        <v>0</v>
      </c>
      <c r="AC70">
        <v>0</v>
      </c>
      <c r="AD70">
        <v>0</v>
      </c>
      <c r="AE70">
        <v>31</v>
      </c>
      <c r="AF70">
        <v>0</v>
      </c>
      <c r="AG70">
        <v>0</v>
      </c>
      <c r="AH70">
        <v>0</v>
      </c>
      <c r="AI70">
        <v>7.83</v>
      </c>
      <c r="AJ70">
        <v>1</v>
      </c>
      <c r="AK70">
        <v>1</v>
      </c>
      <c r="AL70">
        <v>1</v>
      </c>
      <c r="AM70">
        <v>2</v>
      </c>
      <c r="AN70">
        <v>0</v>
      </c>
      <c r="AO70">
        <v>1</v>
      </c>
      <c r="AP70">
        <v>1</v>
      </c>
      <c r="AQ70">
        <v>0</v>
      </c>
      <c r="AR70">
        <v>0</v>
      </c>
      <c r="AS70" t="s">
        <v>3</v>
      </c>
      <c r="AT70">
        <v>0.27</v>
      </c>
      <c r="AU70" t="s">
        <v>19</v>
      </c>
      <c r="AV70">
        <v>0</v>
      </c>
      <c r="AW70">
        <v>2</v>
      </c>
      <c r="AX70">
        <v>40777308</v>
      </c>
      <c r="AY70">
        <v>1</v>
      </c>
      <c r="AZ70">
        <v>0</v>
      </c>
      <c r="BA70">
        <v>70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V70">
        <v>0</v>
      </c>
      <c r="CW70">
        <v>0</v>
      </c>
      <c r="CX70">
        <f>ROUND(Y70*Source!I37,9)</f>
        <v>0</v>
      </c>
      <c r="CY70">
        <f t="shared" si="33"/>
        <v>242.73</v>
      </c>
      <c r="CZ70">
        <f t="shared" si="34"/>
        <v>31</v>
      </c>
      <c r="DA70">
        <f t="shared" si="35"/>
        <v>7.83</v>
      </c>
      <c r="DB70">
        <f t="shared" si="36"/>
        <v>0</v>
      </c>
      <c r="DC70">
        <f t="shared" si="37"/>
        <v>0</v>
      </c>
      <c r="DD70" t="s">
        <v>3</v>
      </c>
      <c r="DE70" t="s">
        <v>3</v>
      </c>
      <c r="DF70">
        <f t="shared" si="38"/>
        <v>0</v>
      </c>
      <c r="DG70">
        <f t="shared" si="29"/>
        <v>0</v>
      </c>
      <c r="DH70">
        <f t="shared" si="30"/>
        <v>0</v>
      </c>
      <c r="DI70">
        <f t="shared" si="31"/>
        <v>0</v>
      </c>
      <c r="DJ70">
        <f t="shared" si="39"/>
        <v>0</v>
      </c>
      <c r="DK70">
        <v>0</v>
      </c>
      <c r="DL70" t="s">
        <v>3</v>
      </c>
      <c r="DM70">
        <v>0</v>
      </c>
      <c r="DN70" t="s">
        <v>3</v>
      </c>
      <c r="DO70">
        <v>0</v>
      </c>
    </row>
    <row r="71" spans="1:119" x14ac:dyDescent="0.2">
      <c r="A71">
        <f>ROW(Source!A37)</f>
        <v>37</v>
      </c>
      <c r="B71">
        <v>40777027</v>
      </c>
      <c r="C71">
        <v>40777292</v>
      </c>
      <c r="D71">
        <v>38669015</v>
      </c>
      <c r="E71">
        <v>1</v>
      </c>
      <c r="F71">
        <v>1</v>
      </c>
      <c r="G71">
        <v>1</v>
      </c>
      <c r="H71">
        <v>3</v>
      </c>
      <c r="I71" t="s">
        <v>404</v>
      </c>
      <c r="J71" t="s">
        <v>405</v>
      </c>
      <c r="K71" t="s">
        <v>406</v>
      </c>
      <c r="L71">
        <v>1348</v>
      </c>
      <c r="N71">
        <v>1009</v>
      </c>
      <c r="O71" t="s">
        <v>119</v>
      </c>
      <c r="P71" t="s">
        <v>119</v>
      </c>
      <c r="Q71">
        <v>1000</v>
      </c>
      <c r="W71">
        <v>0</v>
      </c>
      <c r="X71">
        <v>545410874</v>
      </c>
      <c r="Y71">
        <f t="shared" si="32"/>
        <v>0</v>
      </c>
      <c r="AA71">
        <v>849058.49</v>
      </c>
      <c r="AB71">
        <v>0</v>
      </c>
      <c r="AC71">
        <v>0</v>
      </c>
      <c r="AD71">
        <v>0</v>
      </c>
      <c r="AE71">
        <v>98384.53</v>
      </c>
      <c r="AF71">
        <v>0</v>
      </c>
      <c r="AG71">
        <v>0</v>
      </c>
      <c r="AH71">
        <v>0</v>
      </c>
      <c r="AI71">
        <v>8.6300000000000008</v>
      </c>
      <c r="AJ71">
        <v>1</v>
      </c>
      <c r="AK71">
        <v>1</v>
      </c>
      <c r="AL71">
        <v>1</v>
      </c>
      <c r="AM71">
        <v>2</v>
      </c>
      <c r="AN71">
        <v>0</v>
      </c>
      <c r="AO71">
        <v>1</v>
      </c>
      <c r="AP71">
        <v>1</v>
      </c>
      <c r="AQ71">
        <v>0</v>
      </c>
      <c r="AR71">
        <v>0</v>
      </c>
      <c r="AS71" t="s">
        <v>3</v>
      </c>
      <c r="AT71">
        <v>1.2E-4</v>
      </c>
      <c r="AU71" t="s">
        <v>19</v>
      </c>
      <c r="AV71">
        <v>0</v>
      </c>
      <c r="AW71">
        <v>2</v>
      </c>
      <c r="AX71">
        <v>40777309</v>
      </c>
      <c r="AY71">
        <v>1</v>
      </c>
      <c r="AZ71">
        <v>0</v>
      </c>
      <c r="BA71">
        <v>71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V71">
        <v>0</v>
      </c>
      <c r="CW71">
        <v>0</v>
      </c>
      <c r="CX71">
        <f>ROUND(Y71*Source!I37,9)</f>
        <v>0</v>
      </c>
      <c r="CY71">
        <f t="shared" si="33"/>
        <v>849058.49</v>
      </c>
      <c r="CZ71">
        <f t="shared" si="34"/>
        <v>98384.53</v>
      </c>
      <c r="DA71">
        <f t="shared" si="35"/>
        <v>8.6300000000000008</v>
      </c>
      <c r="DB71">
        <f t="shared" si="36"/>
        <v>0</v>
      </c>
      <c r="DC71">
        <f t="shared" si="37"/>
        <v>0</v>
      </c>
      <c r="DD71" t="s">
        <v>3</v>
      </c>
      <c r="DE71" t="s">
        <v>3</v>
      </c>
      <c r="DF71">
        <f t="shared" si="38"/>
        <v>0</v>
      </c>
      <c r="DG71">
        <f t="shared" si="29"/>
        <v>0</v>
      </c>
      <c r="DH71">
        <f t="shared" si="30"/>
        <v>0</v>
      </c>
      <c r="DI71">
        <f t="shared" si="31"/>
        <v>0</v>
      </c>
      <c r="DJ71">
        <f t="shared" si="39"/>
        <v>0</v>
      </c>
      <c r="DK71">
        <v>0</v>
      </c>
      <c r="DL71" t="s">
        <v>3</v>
      </c>
      <c r="DM71">
        <v>0</v>
      </c>
      <c r="DN71" t="s">
        <v>3</v>
      </c>
      <c r="DO71">
        <v>0</v>
      </c>
    </row>
    <row r="72" spans="1:119" x14ac:dyDescent="0.2">
      <c r="A72">
        <f>ROW(Source!A37)</f>
        <v>37</v>
      </c>
      <c r="B72">
        <v>40777027</v>
      </c>
      <c r="C72">
        <v>40777292</v>
      </c>
      <c r="D72">
        <v>38671537</v>
      </c>
      <c r="E72">
        <v>1</v>
      </c>
      <c r="F72">
        <v>1</v>
      </c>
      <c r="G72">
        <v>1</v>
      </c>
      <c r="H72">
        <v>3</v>
      </c>
      <c r="I72" t="s">
        <v>377</v>
      </c>
      <c r="J72" t="s">
        <v>378</v>
      </c>
      <c r="K72" t="s">
        <v>379</v>
      </c>
      <c r="L72">
        <v>1346</v>
      </c>
      <c r="N72">
        <v>1009</v>
      </c>
      <c r="O72" t="s">
        <v>141</v>
      </c>
      <c r="P72" t="s">
        <v>141</v>
      </c>
      <c r="Q72">
        <v>1</v>
      </c>
      <c r="W72">
        <v>0</v>
      </c>
      <c r="X72">
        <v>904967830</v>
      </c>
      <c r="Y72">
        <f t="shared" si="32"/>
        <v>0</v>
      </c>
      <c r="AA72">
        <v>533.02</v>
      </c>
      <c r="AB72">
        <v>0</v>
      </c>
      <c r="AC72">
        <v>0</v>
      </c>
      <c r="AD72">
        <v>0</v>
      </c>
      <c r="AE72">
        <v>71.45</v>
      </c>
      <c r="AF72">
        <v>0</v>
      </c>
      <c r="AG72">
        <v>0</v>
      </c>
      <c r="AH72">
        <v>0</v>
      </c>
      <c r="AI72">
        <v>7.46</v>
      </c>
      <c r="AJ72">
        <v>1</v>
      </c>
      <c r="AK72">
        <v>1</v>
      </c>
      <c r="AL72">
        <v>1</v>
      </c>
      <c r="AM72">
        <v>2</v>
      </c>
      <c r="AN72">
        <v>0</v>
      </c>
      <c r="AO72">
        <v>1</v>
      </c>
      <c r="AP72">
        <v>1</v>
      </c>
      <c r="AQ72">
        <v>0</v>
      </c>
      <c r="AR72">
        <v>0</v>
      </c>
      <c r="AS72" t="s">
        <v>3</v>
      </c>
      <c r="AT72">
        <v>0.4</v>
      </c>
      <c r="AU72" t="s">
        <v>19</v>
      </c>
      <c r="AV72">
        <v>0</v>
      </c>
      <c r="AW72">
        <v>2</v>
      </c>
      <c r="AX72">
        <v>40777310</v>
      </c>
      <c r="AY72">
        <v>1</v>
      </c>
      <c r="AZ72">
        <v>0</v>
      </c>
      <c r="BA72">
        <v>72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V72">
        <v>0</v>
      </c>
      <c r="CW72">
        <v>0</v>
      </c>
      <c r="CX72">
        <f>ROUND(Y72*Source!I37,9)</f>
        <v>0</v>
      </c>
      <c r="CY72">
        <f t="shared" si="33"/>
        <v>533.02</v>
      </c>
      <c r="CZ72">
        <f t="shared" si="34"/>
        <v>71.45</v>
      </c>
      <c r="DA72">
        <f t="shared" si="35"/>
        <v>7.46</v>
      </c>
      <c r="DB72">
        <f t="shared" si="36"/>
        <v>0</v>
      </c>
      <c r="DC72">
        <f t="shared" si="37"/>
        <v>0</v>
      </c>
      <c r="DD72" t="s">
        <v>3</v>
      </c>
      <c r="DE72" t="s">
        <v>3</v>
      </c>
      <c r="DF72">
        <f t="shared" si="38"/>
        <v>0</v>
      </c>
      <c r="DG72">
        <f t="shared" si="29"/>
        <v>0</v>
      </c>
      <c r="DH72">
        <f t="shared" si="30"/>
        <v>0</v>
      </c>
      <c r="DI72">
        <f t="shared" si="31"/>
        <v>0</v>
      </c>
      <c r="DJ72">
        <f t="shared" si="39"/>
        <v>0</v>
      </c>
      <c r="DK72">
        <v>0</v>
      </c>
      <c r="DL72" t="s">
        <v>3</v>
      </c>
      <c r="DM72">
        <v>0</v>
      </c>
      <c r="DN72" t="s">
        <v>3</v>
      </c>
      <c r="DO72">
        <v>0</v>
      </c>
    </row>
    <row r="73" spans="1:119" x14ac:dyDescent="0.2">
      <c r="A73">
        <f>ROW(Source!A37)</f>
        <v>37</v>
      </c>
      <c r="B73">
        <v>40777027</v>
      </c>
      <c r="C73">
        <v>40777292</v>
      </c>
      <c r="D73">
        <v>38683647</v>
      </c>
      <c r="E73">
        <v>1</v>
      </c>
      <c r="F73">
        <v>1</v>
      </c>
      <c r="G73">
        <v>1</v>
      </c>
      <c r="H73">
        <v>3</v>
      </c>
      <c r="I73" t="s">
        <v>407</v>
      </c>
      <c r="J73" t="s">
        <v>408</v>
      </c>
      <c r="K73" t="s">
        <v>409</v>
      </c>
      <c r="L73">
        <v>1354</v>
      </c>
      <c r="N73">
        <v>1010</v>
      </c>
      <c r="O73" t="s">
        <v>155</v>
      </c>
      <c r="P73" t="s">
        <v>155</v>
      </c>
      <c r="Q73">
        <v>1</v>
      </c>
      <c r="W73">
        <v>0</v>
      </c>
      <c r="X73">
        <v>-1998081533</v>
      </c>
      <c r="Y73">
        <f t="shared" si="32"/>
        <v>0</v>
      </c>
      <c r="AA73">
        <v>267.68</v>
      </c>
      <c r="AB73">
        <v>0</v>
      </c>
      <c r="AC73">
        <v>0</v>
      </c>
      <c r="AD73">
        <v>0</v>
      </c>
      <c r="AE73">
        <v>38.57</v>
      </c>
      <c r="AF73">
        <v>0</v>
      </c>
      <c r="AG73">
        <v>0</v>
      </c>
      <c r="AH73">
        <v>0</v>
      </c>
      <c r="AI73">
        <v>6.94</v>
      </c>
      <c r="AJ73">
        <v>1</v>
      </c>
      <c r="AK73">
        <v>1</v>
      </c>
      <c r="AL73">
        <v>1</v>
      </c>
      <c r="AM73">
        <v>2</v>
      </c>
      <c r="AN73">
        <v>0</v>
      </c>
      <c r="AO73">
        <v>1</v>
      </c>
      <c r="AP73">
        <v>1</v>
      </c>
      <c r="AQ73">
        <v>0</v>
      </c>
      <c r="AR73">
        <v>0</v>
      </c>
      <c r="AS73" t="s">
        <v>3</v>
      </c>
      <c r="AT73">
        <v>1</v>
      </c>
      <c r="AU73" t="s">
        <v>19</v>
      </c>
      <c r="AV73">
        <v>0</v>
      </c>
      <c r="AW73">
        <v>2</v>
      </c>
      <c r="AX73">
        <v>40777311</v>
      </c>
      <c r="AY73">
        <v>1</v>
      </c>
      <c r="AZ73">
        <v>0</v>
      </c>
      <c r="BA73">
        <v>73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V73">
        <v>0</v>
      </c>
      <c r="CW73">
        <v>0</v>
      </c>
      <c r="CX73">
        <f>ROUND(Y73*Source!I37,9)</f>
        <v>0</v>
      </c>
      <c r="CY73">
        <f t="shared" si="33"/>
        <v>267.68</v>
      </c>
      <c r="CZ73">
        <f t="shared" si="34"/>
        <v>38.57</v>
      </c>
      <c r="DA73">
        <f t="shared" si="35"/>
        <v>6.94</v>
      </c>
      <c r="DB73">
        <f t="shared" si="36"/>
        <v>0</v>
      </c>
      <c r="DC73">
        <f t="shared" si="37"/>
        <v>0</v>
      </c>
      <c r="DD73" t="s">
        <v>3</v>
      </c>
      <c r="DE73" t="s">
        <v>3</v>
      </c>
      <c r="DF73">
        <f t="shared" si="38"/>
        <v>0</v>
      </c>
      <c r="DG73">
        <f t="shared" si="29"/>
        <v>0</v>
      </c>
      <c r="DH73">
        <f t="shared" si="30"/>
        <v>0</v>
      </c>
      <c r="DI73">
        <f t="shared" si="31"/>
        <v>0</v>
      </c>
      <c r="DJ73">
        <f t="shared" si="39"/>
        <v>0</v>
      </c>
      <c r="DK73">
        <v>0</v>
      </c>
      <c r="DL73" t="s">
        <v>3</v>
      </c>
      <c r="DM73">
        <v>0</v>
      </c>
      <c r="DN73" t="s">
        <v>3</v>
      </c>
      <c r="DO73">
        <v>0</v>
      </c>
    </row>
    <row r="74" spans="1:119" x14ac:dyDescent="0.2">
      <c r="A74">
        <f>ROW(Source!A37)</f>
        <v>37</v>
      </c>
      <c r="B74">
        <v>40777027</v>
      </c>
      <c r="C74">
        <v>40777292</v>
      </c>
      <c r="D74">
        <v>38683648</v>
      </c>
      <c r="E74">
        <v>1</v>
      </c>
      <c r="F74">
        <v>1</v>
      </c>
      <c r="G74">
        <v>1</v>
      </c>
      <c r="H74">
        <v>3</v>
      </c>
      <c r="I74" t="s">
        <v>410</v>
      </c>
      <c r="J74" t="s">
        <v>411</v>
      </c>
      <c r="K74" t="s">
        <v>412</v>
      </c>
      <c r="L74">
        <v>1354</v>
      </c>
      <c r="N74">
        <v>1010</v>
      </c>
      <c r="O74" t="s">
        <v>155</v>
      </c>
      <c r="P74" t="s">
        <v>155</v>
      </c>
      <c r="Q74">
        <v>1</v>
      </c>
      <c r="W74">
        <v>0</v>
      </c>
      <c r="X74">
        <v>-249246338</v>
      </c>
      <c r="Y74">
        <f t="shared" si="32"/>
        <v>0</v>
      </c>
      <c r="AA74">
        <v>184.36</v>
      </c>
      <c r="AB74">
        <v>0</v>
      </c>
      <c r="AC74">
        <v>0</v>
      </c>
      <c r="AD74">
        <v>0</v>
      </c>
      <c r="AE74">
        <v>38.57</v>
      </c>
      <c r="AF74">
        <v>0</v>
      </c>
      <c r="AG74">
        <v>0</v>
      </c>
      <c r="AH74">
        <v>0</v>
      </c>
      <c r="AI74">
        <v>4.78</v>
      </c>
      <c r="AJ74">
        <v>1</v>
      </c>
      <c r="AK74">
        <v>1</v>
      </c>
      <c r="AL74">
        <v>1</v>
      </c>
      <c r="AM74">
        <v>2</v>
      </c>
      <c r="AN74">
        <v>0</v>
      </c>
      <c r="AO74">
        <v>1</v>
      </c>
      <c r="AP74">
        <v>1</v>
      </c>
      <c r="AQ74">
        <v>0</v>
      </c>
      <c r="AR74">
        <v>0</v>
      </c>
      <c r="AS74" t="s">
        <v>3</v>
      </c>
      <c r="AT74">
        <v>1</v>
      </c>
      <c r="AU74" t="s">
        <v>19</v>
      </c>
      <c r="AV74">
        <v>0</v>
      </c>
      <c r="AW74">
        <v>2</v>
      </c>
      <c r="AX74">
        <v>40777312</v>
      </c>
      <c r="AY74">
        <v>1</v>
      </c>
      <c r="AZ74">
        <v>0</v>
      </c>
      <c r="BA74">
        <v>74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V74">
        <v>0</v>
      </c>
      <c r="CW74">
        <v>0</v>
      </c>
      <c r="CX74">
        <f>ROUND(Y74*Source!I37,9)</f>
        <v>0</v>
      </c>
      <c r="CY74">
        <f t="shared" si="33"/>
        <v>184.36</v>
      </c>
      <c r="CZ74">
        <f t="shared" si="34"/>
        <v>38.57</v>
      </c>
      <c r="DA74">
        <f t="shared" si="35"/>
        <v>4.78</v>
      </c>
      <c r="DB74">
        <f t="shared" si="36"/>
        <v>0</v>
      </c>
      <c r="DC74">
        <f t="shared" si="37"/>
        <v>0</v>
      </c>
      <c r="DD74" t="s">
        <v>3</v>
      </c>
      <c r="DE74" t="s">
        <v>3</v>
      </c>
      <c r="DF74">
        <f t="shared" si="38"/>
        <v>0</v>
      </c>
      <c r="DG74">
        <f t="shared" si="29"/>
        <v>0</v>
      </c>
      <c r="DH74">
        <f t="shared" si="30"/>
        <v>0</v>
      </c>
      <c r="DI74">
        <f t="shared" si="31"/>
        <v>0</v>
      </c>
      <c r="DJ74">
        <f t="shared" si="39"/>
        <v>0</v>
      </c>
      <c r="DK74">
        <v>0</v>
      </c>
      <c r="DL74" t="s">
        <v>3</v>
      </c>
      <c r="DM74">
        <v>0</v>
      </c>
      <c r="DN74" t="s">
        <v>3</v>
      </c>
      <c r="DO74">
        <v>0</v>
      </c>
    </row>
    <row r="75" spans="1:119" x14ac:dyDescent="0.2">
      <c r="A75">
        <f>ROW(Source!A37)</f>
        <v>37</v>
      </c>
      <c r="B75">
        <v>40777027</v>
      </c>
      <c r="C75">
        <v>40777292</v>
      </c>
      <c r="D75">
        <v>38684434</v>
      </c>
      <c r="E75">
        <v>1</v>
      </c>
      <c r="F75">
        <v>1</v>
      </c>
      <c r="G75">
        <v>1</v>
      </c>
      <c r="H75">
        <v>3</v>
      </c>
      <c r="I75" t="s">
        <v>351</v>
      </c>
      <c r="J75" t="s">
        <v>352</v>
      </c>
      <c r="K75" t="s">
        <v>353</v>
      </c>
      <c r="L75">
        <v>1348</v>
      </c>
      <c r="N75">
        <v>1009</v>
      </c>
      <c r="O75" t="s">
        <v>119</v>
      </c>
      <c r="P75" t="s">
        <v>119</v>
      </c>
      <c r="Q75">
        <v>1000</v>
      </c>
      <c r="W75">
        <v>0</v>
      </c>
      <c r="X75">
        <v>1829992141</v>
      </c>
      <c r="Y75">
        <f t="shared" si="32"/>
        <v>0</v>
      </c>
      <c r="AA75">
        <v>428641.1</v>
      </c>
      <c r="AB75">
        <v>0</v>
      </c>
      <c r="AC75">
        <v>0</v>
      </c>
      <c r="AD75">
        <v>0</v>
      </c>
      <c r="AE75">
        <v>27354.25</v>
      </c>
      <c r="AF75">
        <v>0</v>
      </c>
      <c r="AG75">
        <v>0</v>
      </c>
      <c r="AH75">
        <v>0</v>
      </c>
      <c r="AI75">
        <v>15.67</v>
      </c>
      <c r="AJ75">
        <v>1</v>
      </c>
      <c r="AK75">
        <v>1</v>
      </c>
      <c r="AL75">
        <v>1</v>
      </c>
      <c r="AM75">
        <v>2</v>
      </c>
      <c r="AN75">
        <v>0</v>
      </c>
      <c r="AO75">
        <v>1</v>
      </c>
      <c r="AP75">
        <v>1</v>
      </c>
      <c r="AQ75">
        <v>0</v>
      </c>
      <c r="AR75">
        <v>0</v>
      </c>
      <c r="AS75" t="s">
        <v>3</v>
      </c>
      <c r="AT75">
        <v>2.0000000000000001E-4</v>
      </c>
      <c r="AU75" t="s">
        <v>19</v>
      </c>
      <c r="AV75">
        <v>0</v>
      </c>
      <c r="AW75">
        <v>2</v>
      </c>
      <c r="AX75">
        <v>40777313</v>
      </c>
      <c r="AY75">
        <v>1</v>
      </c>
      <c r="AZ75">
        <v>0</v>
      </c>
      <c r="BA75">
        <v>75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V75">
        <v>0</v>
      </c>
      <c r="CW75">
        <v>0</v>
      </c>
      <c r="CX75">
        <f>ROUND(Y75*Source!I37,9)</f>
        <v>0</v>
      </c>
      <c r="CY75">
        <f t="shared" si="33"/>
        <v>428641.1</v>
      </c>
      <c r="CZ75">
        <f t="shared" si="34"/>
        <v>27354.25</v>
      </c>
      <c r="DA75">
        <f t="shared" si="35"/>
        <v>15.67</v>
      </c>
      <c r="DB75">
        <f t="shared" si="36"/>
        <v>0</v>
      </c>
      <c r="DC75">
        <f t="shared" si="37"/>
        <v>0</v>
      </c>
      <c r="DD75" t="s">
        <v>3</v>
      </c>
      <c r="DE75" t="s">
        <v>3</v>
      </c>
      <c r="DF75">
        <f t="shared" si="38"/>
        <v>0</v>
      </c>
      <c r="DG75">
        <f t="shared" si="29"/>
        <v>0</v>
      </c>
      <c r="DH75">
        <f t="shared" si="30"/>
        <v>0</v>
      </c>
      <c r="DI75">
        <f t="shared" si="31"/>
        <v>0</v>
      </c>
      <c r="DJ75">
        <f t="shared" si="39"/>
        <v>0</v>
      </c>
      <c r="DK75">
        <v>0</v>
      </c>
      <c r="DL75" t="s">
        <v>3</v>
      </c>
      <c r="DM75">
        <v>0</v>
      </c>
      <c r="DN75" t="s">
        <v>3</v>
      </c>
      <c r="DO75">
        <v>0</v>
      </c>
    </row>
    <row r="76" spans="1:119" x14ac:dyDescent="0.2">
      <c r="A76">
        <f>ROW(Source!A37)</f>
        <v>37</v>
      </c>
      <c r="B76">
        <v>40777027</v>
      </c>
      <c r="C76">
        <v>40777292</v>
      </c>
      <c r="D76">
        <v>38684560</v>
      </c>
      <c r="E76">
        <v>1</v>
      </c>
      <c r="F76">
        <v>1</v>
      </c>
      <c r="G76">
        <v>1</v>
      </c>
      <c r="H76">
        <v>3</v>
      </c>
      <c r="I76" t="s">
        <v>354</v>
      </c>
      <c r="J76" t="s">
        <v>355</v>
      </c>
      <c r="K76" t="s">
        <v>356</v>
      </c>
      <c r="L76">
        <v>1374</v>
      </c>
      <c r="N76">
        <v>1013</v>
      </c>
      <c r="O76" t="s">
        <v>357</v>
      </c>
      <c r="P76" t="s">
        <v>357</v>
      </c>
      <c r="Q76">
        <v>1</v>
      </c>
      <c r="W76">
        <v>0</v>
      </c>
      <c r="X76">
        <v>2131831278</v>
      </c>
      <c r="Y76">
        <f t="shared" si="32"/>
        <v>0</v>
      </c>
      <c r="AA76">
        <v>1</v>
      </c>
      <c r="AB76">
        <v>0</v>
      </c>
      <c r="AC76">
        <v>0</v>
      </c>
      <c r="AD76">
        <v>0</v>
      </c>
      <c r="AE76">
        <v>1</v>
      </c>
      <c r="AF76">
        <v>0</v>
      </c>
      <c r="AG76">
        <v>0</v>
      </c>
      <c r="AH76">
        <v>0</v>
      </c>
      <c r="AI76">
        <v>1</v>
      </c>
      <c r="AJ76">
        <v>1</v>
      </c>
      <c r="AK76">
        <v>1</v>
      </c>
      <c r="AL76">
        <v>1</v>
      </c>
      <c r="AM76">
        <v>-2</v>
      </c>
      <c r="AN76">
        <v>0</v>
      </c>
      <c r="AO76">
        <v>1</v>
      </c>
      <c r="AP76">
        <v>1</v>
      </c>
      <c r="AQ76">
        <v>0</v>
      </c>
      <c r="AR76">
        <v>0</v>
      </c>
      <c r="AS76" t="s">
        <v>3</v>
      </c>
      <c r="AT76">
        <v>2.41</v>
      </c>
      <c r="AU76" t="s">
        <v>19</v>
      </c>
      <c r="AV76">
        <v>0</v>
      </c>
      <c r="AW76">
        <v>2</v>
      </c>
      <c r="AX76">
        <v>40777314</v>
      </c>
      <c r="AY76">
        <v>1</v>
      </c>
      <c r="AZ76">
        <v>0</v>
      </c>
      <c r="BA76">
        <v>76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V76">
        <v>0</v>
      </c>
      <c r="CW76">
        <v>0</v>
      </c>
      <c r="CX76">
        <f>ROUND(Y76*Source!I37,9)</f>
        <v>0</v>
      </c>
      <c r="CY76">
        <f t="shared" si="33"/>
        <v>1</v>
      </c>
      <c r="CZ76">
        <f t="shared" si="34"/>
        <v>1</v>
      </c>
      <c r="DA76">
        <f t="shared" si="35"/>
        <v>1</v>
      </c>
      <c r="DB76">
        <f t="shared" si="36"/>
        <v>0</v>
      </c>
      <c r="DC76">
        <f t="shared" si="37"/>
        <v>0</v>
      </c>
      <c r="DD76" t="s">
        <v>3</v>
      </c>
      <c r="DE76" t="s">
        <v>3</v>
      </c>
      <c r="DF76">
        <f t="shared" ref="DF76:DF81" si="40">ROUND(ROUND(AE76,2)*CX76,2)</f>
        <v>0</v>
      </c>
      <c r="DG76">
        <f t="shared" si="29"/>
        <v>0</v>
      </c>
      <c r="DH76">
        <f t="shared" si="30"/>
        <v>0</v>
      </c>
      <c r="DI76">
        <f t="shared" si="31"/>
        <v>0</v>
      </c>
      <c r="DJ76">
        <f t="shared" si="39"/>
        <v>0</v>
      </c>
      <c r="DK76">
        <v>0</v>
      </c>
      <c r="DL76" t="s">
        <v>3</v>
      </c>
      <c r="DM76">
        <v>0</v>
      </c>
      <c r="DN76" t="s">
        <v>3</v>
      </c>
      <c r="DO76">
        <v>0</v>
      </c>
    </row>
    <row r="77" spans="1:119" x14ac:dyDescent="0.2">
      <c r="A77">
        <f>ROW(Source!A38)</f>
        <v>38</v>
      </c>
      <c r="B77">
        <v>40777027</v>
      </c>
      <c r="C77">
        <v>40777315</v>
      </c>
      <c r="D77">
        <v>23355901</v>
      </c>
      <c r="E77">
        <v>1</v>
      </c>
      <c r="F77">
        <v>1</v>
      </c>
      <c r="G77">
        <v>1</v>
      </c>
      <c r="H77">
        <v>1</v>
      </c>
      <c r="I77" t="s">
        <v>413</v>
      </c>
      <c r="J77" t="s">
        <v>3</v>
      </c>
      <c r="K77" t="s">
        <v>414</v>
      </c>
      <c r="L77">
        <v>1369</v>
      </c>
      <c r="N77">
        <v>1013</v>
      </c>
      <c r="O77" t="s">
        <v>319</v>
      </c>
      <c r="P77" t="s">
        <v>319</v>
      </c>
      <c r="Q77">
        <v>1</v>
      </c>
      <c r="W77">
        <v>0</v>
      </c>
      <c r="X77">
        <v>1915132312</v>
      </c>
      <c r="Y77">
        <f>AT77</f>
        <v>100</v>
      </c>
      <c r="AA77">
        <v>0</v>
      </c>
      <c r="AB77">
        <v>0</v>
      </c>
      <c r="AC77">
        <v>0</v>
      </c>
      <c r="AD77">
        <v>9.27</v>
      </c>
      <c r="AE77">
        <v>0</v>
      </c>
      <c r="AF77">
        <v>0</v>
      </c>
      <c r="AG77">
        <v>0</v>
      </c>
      <c r="AH77">
        <v>9.27</v>
      </c>
      <c r="AI77">
        <v>1</v>
      </c>
      <c r="AJ77">
        <v>1</v>
      </c>
      <c r="AK77">
        <v>1</v>
      </c>
      <c r="AL77">
        <v>1</v>
      </c>
      <c r="AM77">
        <v>-2</v>
      </c>
      <c r="AN77">
        <v>0</v>
      </c>
      <c r="AO77">
        <v>1</v>
      </c>
      <c r="AP77">
        <v>1</v>
      </c>
      <c r="AQ77">
        <v>0</v>
      </c>
      <c r="AR77">
        <v>0</v>
      </c>
      <c r="AS77" t="s">
        <v>3</v>
      </c>
      <c r="AT77">
        <v>100</v>
      </c>
      <c r="AU77" t="s">
        <v>3</v>
      </c>
      <c r="AV77">
        <v>1</v>
      </c>
      <c r="AW77">
        <v>2</v>
      </c>
      <c r="AX77">
        <v>40777330</v>
      </c>
      <c r="AY77">
        <v>1</v>
      </c>
      <c r="AZ77">
        <v>0</v>
      </c>
      <c r="BA77">
        <v>77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U77">
        <f>ROUND(AT77*Source!I38*AH77*AL77,2)</f>
        <v>148.32</v>
      </c>
      <c r="CV77">
        <f>ROUND(Y77*Source!I38,9)</f>
        <v>16</v>
      </c>
      <c r="CW77">
        <v>0</v>
      </c>
      <c r="CX77">
        <f>ROUND(Y77*Source!I38,9)</f>
        <v>16</v>
      </c>
      <c r="CY77">
        <f>AD77</f>
        <v>9.27</v>
      </c>
      <c r="CZ77">
        <f>AH77</f>
        <v>9.27</v>
      </c>
      <c r="DA77">
        <f>AL77</f>
        <v>1</v>
      </c>
      <c r="DB77">
        <f>ROUND(ROUND(AT77*CZ77,2),2)</f>
        <v>927</v>
      </c>
      <c r="DC77">
        <f>ROUND(ROUND(AT77*AG77,2),2)</f>
        <v>0</v>
      </c>
      <c r="DD77" t="s">
        <v>3</v>
      </c>
      <c r="DE77" t="s">
        <v>3</v>
      </c>
      <c r="DF77">
        <f t="shared" si="40"/>
        <v>0</v>
      </c>
      <c r="DG77">
        <f t="shared" si="29"/>
        <v>0</v>
      </c>
      <c r="DH77">
        <f t="shared" si="30"/>
        <v>0</v>
      </c>
      <c r="DI77">
        <f t="shared" si="31"/>
        <v>148.32</v>
      </c>
      <c r="DJ77">
        <f>DI77</f>
        <v>148.32</v>
      </c>
      <c r="DK77">
        <v>0</v>
      </c>
      <c r="DL77" t="s">
        <v>3</v>
      </c>
      <c r="DM77">
        <v>0</v>
      </c>
      <c r="DN77" t="s">
        <v>3</v>
      </c>
      <c r="DO77">
        <v>0</v>
      </c>
    </row>
    <row r="78" spans="1:119" x14ac:dyDescent="0.2">
      <c r="A78">
        <f>ROW(Source!A38)</f>
        <v>38</v>
      </c>
      <c r="B78">
        <v>40777027</v>
      </c>
      <c r="C78">
        <v>40777315</v>
      </c>
      <c r="D78">
        <v>121548</v>
      </c>
      <c r="E78">
        <v>1</v>
      </c>
      <c r="F78">
        <v>1</v>
      </c>
      <c r="G78">
        <v>1</v>
      </c>
      <c r="H78">
        <v>1</v>
      </c>
      <c r="I78" t="s">
        <v>26</v>
      </c>
      <c r="J78" t="s">
        <v>3</v>
      </c>
      <c r="K78" t="s">
        <v>320</v>
      </c>
      <c r="L78">
        <v>608254</v>
      </c>
      <c r="N78">
        <v>1013</v>
      </c>
      <c r="O78" t="s">
        <v>321</v>
      </c>
      <c r="P78" t="s">
        <v>321</v>
      </c>
      <c r="Q78">
        <v>1</v>
      </c>
      <c r="W78">
        <v>0</v>
      </c>
      <c r="X78">
        <v>-185737400</v>
      </c>
      <c r="Y78">
        <f>AT78</f>
        <v>0.09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1</v>
      </c>
      <c r="AJ78">
        <v>1</v>
      </c>
      <c r="AK78">
        <v>1</v>
      </c>
      <c r="AL78">
        <v>1</v>
      </c>
      <c r="AM78">
        <v>-2</v>
      </c>
      <c r="AN78">
        <v>0</v>
      </c>
      <c r="AO78">
        <v>1</v>
      </c>
      <c r="AP78">
        <v>1</v>
      </c>
      <c r="AQ78">
        <v>0</v>
      </c>
      <c r="AR78">
        <v>0</v>
      </c>
      <c r="AS78" t="s">
        <v>3</v>
      </c>
      <c r="AT78">
        <v>0.09</v>
      </c>
      <c r="AU78" t="s">
        <v>3</v>
      </c>
      <c r="AV78">
        <v>2</v>
      </c>
      <c r="AW78">
        <v>2</v>
      </c>
      <c r="AX78">
        <v>40777331</v>
      </c>
      <c r="AY78">
        <v>1</v>
      </c>
      <c r="AZ78">
        <v>0</v>
      </c>
      <c r="BA78">
        <v>78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V78">
        <v>0</v>
      </c>
      <c r="CW78">
        <v>0</v>
      </c>
      <c r="CX78">
        <f>ROUND(Y78*Source!I38,9)</f>
        <v>1.44E-2</v>
      </c>
      <c r="CY78">
        <f>AD78</f>
        <v>0</v>
      </c>
      <c r="CZ78">
        <f>AH78</f>
        <v>0</v>
      </c>
      <c r="DA78">
        <f>AL78</f>
        <v>1</v>
      </c>
      <c r="DB78">
        <f>ROUND(ROUND(AT78*CZ78,2),2)</f>
        <v>0</v>
      </c>
      <c r="DC78">
        <f>ROUND(ROUND(AT78*AG78,2),2)</f>
        <v>0</v>
      </c>
      <c r="DD78" t="s">
        <v>3</v>
      </c>
      <c r="DE78" t="s">
        <v>3</v>
      </c>
      <c r="DF78">
        <f t="shared" si="40"/>
        <v>0</v>
      </c>
      <c r="DG78">
        <f t="shared" si="29"/>
        <v>0</v>
      </c>
      <c r="DH78">
        <f t="shared" si="30"/>
        <v>0</v>
      </c>
      <c r="DI78">
        <f t="shared" si="31"/>
        <v>0</v>
      </c>
      <c r="DJ78">
        <f>DI78</f>
        <v>0</v>
      </c>
      <c r="DK78">
        <v>0</v>
      </c>
      <c r="DL78" t="s">
        <v>3</v>
      </c>
      <c r="DM78">
        <v>0</v>
      </c>
      <c r="DN78" t="s">
        <v>3</v>
      </c>
      <c r="DO78">
        <v>0</v>
      </c>
    </row>
    <row r="79" spans="1:119" x14ac:dyDescent="0.2">
      <c r="A79">
        <f>ROW(Source!A38)</f>
        <v>38</v>
      </c>
      <c r="B79">
        <v>40777027</v>
      </c>
      <c r="C79">
        <v>40777315</v>
      </c>
      <c r="D79">
        <v>38685072</v>
      </c>
      <c r="E79">
        <v>1</v>
      </c>
      <c r="F79">
        <v>1</v>
      </c>
      <c r="G79">
        <v>1</v>
      </c>
      <c r="H79">
        <v>2</v>
      </c>
      <c r="I79" t="s">
        <v>358</v>
      </c>
      <c r="J79" t="s">
        <v>359</v>
      </c>
      <c r="K79" t="s">
        <v>360</v>
      </c>
      <c r="L79">
        <v>1368</v>
      </c>
      <c r="N79">
        <v>1011</v>
      </c>
      <c r="O79" t="s">
        <v>325</v>
      </c>
      <c r="P79" t="s">
        <v>325</v>
      </c>
      <c r="Q79">
        <v>1</v>
      </c>
      <c r="W79">
        <v>0</v>
      </c>
      <c r="X79">
        <v>-1424728221</v>
      </c>
      <c r="Y79">
        <f>AT79</f>
        <v>0.09</v>
      </c>
      <c r="AA79">
        <v>0</v>
      </c>
      <c r="AB79">
        <v>1442.2</v>
      </c>
      <c r="AC79">
        <v>393.37</v>
      </c>
      <c r="AD79">
        <v>0</v>
      </c>
      <c r="AE79">
        <v>0</v>
      </c>
      <c r="AF79">
        <v>138.54</v>
      </c>
      <c r="AG79">
        <v>12.1</v>
      </c>
      <c r="AH79">
        <v>0</v>
      </c>
      <c r="AI79">
        <v>1</v>
      </c>
      <c r="AJ79">
        <v>10.41</v>
      </c>
      <c r="AK79">
        <v>32.51</v>
      </c>
      <c r="AL79">
        <v>1</v>
      </c>
      <c r="AM79">
        <v>2</v>
      </c>
      <c r="AN79">
        <v>0</v>
      </c>
      <c r="AO79">
        <v>1</v>
      </c>
      <c r="AP79">
        <v>1</v>
      </c>
      <c r="AQ79">
        <v>0</v>
      </c>
      <c r="AR79">
        <v>0</v>
      </c>
      <c r="AS79" t="s">
        <v>3</v>
      </c>
      <c r="AT79">
        <v>0.09</v>
      </c>
      <c r="AU79" t="s">
        <v>3</v>
      </c>
      <c r="AV79">
        <v>0</v>
      </c>
      <c r="AW79">
        <v>2</v>
      </c>
      <c r="AX79">
        <v>40777332</v>
      </c>
      <c r="AY79">
        <v>1</v>
      </c>
      <c r="AZ79">
        <v>0</v>
      </c>
      <c r="BA79">
        <v>79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V79">
        <v>0</v>
      </c>
      <c r="CW79">
        <f>ROUND(Y79*Source!I38,9)</f>
        <v>1.44E-2</v>
      </c>
      <c r="CX79">
        <f>ROUND(Y79*Source!I38,9)</f>
        <v>1.44E-2</v>
      </c>
      <c r="CY79">
        <f>AB79</f>
        <v>1442.2</v>
      </c>
      <c r="CZ79">
        <f>AF79</f>
        <v>138.54</v>
      </c>
      <c r="DA79">
        <f>AJ79</f>
        <v>10.41</v>
      </c>
      <c r="DB79">
        <f>ROUND(ROUND(AT79*CZ79,2),2)</f>
        <v>12.47</v>
      </c>
      <c r="DC79">
        <f>ROUND(ROUND(AT79*AG79,2),2)</f>
        <v>1.0900000000000001</v>
      </c>
      <c r="DD79" t="s">
        <v>3</v>
      </c>
      <c r="DE79" t="s">
        <v>3</v>
      </c>
      <c r="DF79">
        <f t="shared" si="40"/>
        <v>0</v>
      </c>
      <c r="DG79">
        <f>ROUND(ROUND(AF79*AJ79,2)*CX79,2)</f>
        <v>20.77</v>
      </c>
      <c r="DH79">
        <f>ROUND(ROUND(AG79*AK79,2)*CX79,2)</f>
        <v>5.66</v>
      </c>
      <c r="DI79">
        <f t="shared" si="31"/>
        <v>0</v>
      </c>
      <c r="DJ79">
        <f>DG79</f>
        <v>20.77</v>
      </c>
      <c r="DK79">
        <v>0</v>
      </c>
      <c r="DL79" t="s">
        <v>3</v>
      </c>
      <c r="DM79">
        <v>0</v>
      </c>
      <c r="DN79" t="s">
        <v>3</v>
      </c>
      <c r="DO79">
        <v>0</v>
      </c>
    </row>
    <row r="80" spans="1:119" x14ac:dyDescent="0.2">
      <c r="A80">
        <f>ROW(Source!A38)</f>
        <v>38</v>
      </c>
      <c r="B80">
        <v>40777027</v>
      </c>
      <c r="C80">
        <v>40777315</v>
      </c>
      <c r="D80">
        <v>38686764</v>
      </c>
      <c r="E80">
        <v>1</v>
      </c>
      <c r="F80">
        <v>1</v>
      </c>
      <c r="G80">
        <v>1</v>
      </c>
      <c r="H80">
        <v>2</v>
      </c>
      <c r="I80" t="s">
        <v>415</v>
      </c>
      <c r="J80" t="s">
        <v>416</v>
      </c>
      <c r="K80" t="s">
        <v>417</v>
      </c>
      <c r="L80">
        <v>1368</v>
      </c>
      <c r="N80">
        <v>1011</v>
      </c>
      <c r="O80" t="s">
        <v>325</v>
      </c>
      <c r="P80" t="s">
        <v>325</v>
      </c>
      <c r="Q80">
        <v>1</v>
      </c>
      <c r="W80">
        <v>0</v>
      </c>
      <c r="X80">
        <v>849415336</v>
      </c>
      <c r="Y80">
        <f>AT80</f>
        <v>30.7</v>
      </c>
      <c r="AA80">
        <v>0</v>
      </c>
      <c r="AB80">
        <v>11</v>
      </c>
      <c r="AC80">
        <v>0</v>
      </c>
      <c r="AD80">
        <v>0</v>
      </c>
      <c r="AE80">
        <v>0</v>
      </c>
      <c r="AF80">
        <v>1.2</v>
      </c>
      <c r="AG80">
        <v>0</v>
      </c>
      <c r="AH80">
        <v>0</v>
      </c>
      <c r="AI80">
        <v>1</v>
      </c>
      <c r="AJ80">
        <v>9.17</v>
      </c>
      <c r="AK80">
        <v>32.51</v>
      </c>
      <c r="AL80">
        <v>1</v>
      </c>
      <c r="AM80">
        <v>2</v>
      </c>
      <c r="AN80">
        <v>0</v>
      </c>
      <c r="AO80">
        <v>1</v>
      </c>
      <c r="AP80">
        <v>1</v>
      </c>
      <c r="AQ80">
        <v>0</v>
      </c>
      <c r="AR80">
        <v>0</v>
      </c>
      <c r="AS80" t="s">
        <v>3</v>
      </c>
      <c r="AT80">
        <v>30.7</v>
      </c>
      <c r="AU80" t="s">
        <v>3</v>
      </c>
      <c r="AV80">
        <v>0</v>
      </c>
      <c r="AW80">
        <v>2</v>
      </c>
      <c r="AX80">
        <v>40777333</v>
      </c>
      <c r="AY80">
        <v>1</v>
      </c>
      <c r="AZ80">
        <v>0</v>
      </c>
      <c r="BA80">
        <v>80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V80">
        <v>0</v>
      </c>
      <c r="CW80">
        <f>ROUND(Y80*Source!I38,9)</f>
        <v>4.9119999999999999</v>
      </c>
      <c r="CX80">
        <f>ROUND(Y80*Source!I38,9)</f>
        <v>4.9119999999999999</v>
      </c>
      <c r="CY80">
        <f>AB80</f>
        <v>11</v>
      </c>
      <c r="CZ80">
        <f>AF80</f>
        <v>1.2</v>
      </c>
      <c r="DA80">
        <f>AJ80</f>
        <v>9.17</v>
      </c>
      <c r="DB80">
        <f>ROUND(ROUND(AT80*CZ80,2),2)</f>
        <v>36.840000000000003</v>
      </c>
      <c r="DC80">
        <f>ROUND(ROUND(AT80*AG80,2),2)</f>
        <v>0</v>
      </c>
      <c r="DD80" t="s">
        <v>3</v>
      </c>
      <c r="DE80" t="s">
        <v>3</v>
      </c>
      <c r="DF80">
        <f t="shared" si="40"/>
        <v>0</v>
      </c>
      <c r="DG80">
        <f>ROUND(ROUND(AF80*AJ80,2)*CX80,2)</f>
        <v>54.03</v>
      </c>
      <c r="DH80">
        <f>ROUND(ROUND(AG80*AK80,2)*CX80,2)</f>
        <v>0</v>
      </c>
      <c r="DI80">
        <f t="shared" si="31"/>
        <v>0</v>
      </c>
      <c r="DJ80">
        <f>DG80</f>
        <v>54.03</v>
      </c>
      <c r="DK80">
        <v>0</v>
      </c>
      <c r="DL80" t="s">
        <v>3</v>
      </c>
      <c r="DM80">
        <v>0</v>
      </c>
      <c r="DN80" t="s">
        <v>3</v>
      </c>
      <c r="DO80">
        <v>0</v>
      </c>
    </row>
    <row r="81" spans="1:119" x14ac:dyDescent="0.2">
      <c r="A81">
        <f>ROW(Source!A38)</f>
        <v>38</v>
      </c>
      <c r="B81">
        <v>40777027</v>
      </c>
      <c r="C81">
        <v>40777315</v>
      </c>
      <c r="D81">
        <v>38686926</v>
      </c>
      <c r="E81">
        <v>1</v>
      </c>
      <c r="F81">
        <v>1</v>
      </c>
      <c r="G81">
        <v>1</v>
      </c>
      <c r="H81">
        <v>2</v>
      </c>
      <c r="I81" t="s">
        <v>367</v>
      </c>
      <c r="J81" t="s">
        <v>368</v>
      </c>
      <c r="K81" t="s">
        <v>369</v>
      </c>
      <c r="L81">
        <v>1368</v>
      </c>
      <c r="N81">
        <v>1011</v>
      </c>
      <c r="O81" t="s">
        <v>325</v>
      </c>
      <c r="P81" t="s">
        <v>325</v>
      </c>
      <c r="Q81">
        <v>1</v>
      </c>
      <c r="W81">
        <v>0</v>
      </c>
      <c r="X81">
        <v>-671646184</v>
      </c>
      <c r="Y81">
        <f>AT81</f>
        <v>0.09</v>
      </c>
      <c r="AA81">
        <v>0</v>
      </c>
      <c r="AB81">
        <v>1271.79</v>
      </c>
      <c r="AC81">
        <v>336.48</v>
      </c>
      <c r="AD81">
        <v>0</v>
      </c>
      <c r="AE81">
        <v>0</v>
      </c>
      <c r="AF81">
        <v>91.76</v>
      </c>
      <c r="AG81">
        <v>10.35</v>
      </c>
      <c r="AH81">
        <v>0</v>
      </c>
      <c r="AI81">
        <v>1</v>
      </c>
      <c r="AJ81">
        <v>13.86</v>
      </c>
      <c r="AK81">
        <v>32.51</v>
      </c>
      <c r="AL81">
        <v>1</v>
      </c>
      <c r="AM81">
        <v>2</v>
      </c>
      <c r="AN81">
        <v>0</v>
      </c>
      <c r="AO81">
        <v>1</v>
      </c>
      <c r="AP81">
        <v>1</v>
      </c>
      <c r="AQ81">
        <v>0</v>
      </c>
      <c r="AR81">
        <v>0</v>
      </c>
      <c r="AS81" t="s">
        <v>3</v>
      </c>
      <c r="AT81">
        <v>0.09</v>
      </c>
      <c r="AU81" t="s">
        <v>3</v>
      </c>
      <c r="AV81">
        <v>0</v>
      </c>
      <c r="AW81">
        <v>2</v>
      </c>
      <c r="AX81">
        <v>40777334</v>
      </c>
      <c r="AY81">
        <v>1</v>
      </c>
      <c r="AZ81">
        <v>0</v>
      </c>
      <c r="BA81">
        <v>81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V81">
        <v>0</v>
      </c>
      <c r="CW81">
        <f>ROUND(Y81*Source!I38,9)</f>
        <v>1.44E-2</v>
      </c>
      <c r="CX81">
        <f>ROUND(Y81*Source!I38,9)</f>
        <v>1.44E-2</v>
      </c>
      <c r="CY81">
        <f>AB81</f>
        <v>1271.79</v>
      </c>
      <c r="CZ81">
        <f>AF81</f>
        <v>91.76</v>
      </c>
      <c r="DA81">
        <f>AJ81</f>
        <v>13.86</v>
      </c>
      <c r="DB81">
        <f>ROUND(ROUND(AT81*CZ81,2),2)</f>
        <v>8.26</v>
      </c>
      <c r="DC81">
        <f>ROUND(ROUND(AT81*AG81,2),2)</f>
        <v>0.93</v>
      </c>
      <c r="DD81" t="s">
        <v>3</v>
      </c>
      <c r="DE81" t="s">
        <v>3</v>
      </c>
      <c r="DF81">
        <f t="shared" si="40"/>
        <v>0</v>
      </c>
      <c r="DG81">
        <f>ROUND(ROUND(AF81*AJ81,2)*CX81,2)</f>
        <v>18.309999999999999</v>
      </c>
      <c r="DH81">
        <f>ROUND(ROUND(AG81*AK81,2)*CX81,2)</f>
        <v>4.8499999999999996</v>
      </c>
      <c r="DI81">
        <f t="shared" si="31"/>
        <v>0</v>
      </c>
      <c r="DJ81">
        <f>DG81</f>
        <v>18.309999999999999</v>
      </c>
      <c r="DK81">
        <v>0</v>
      </c>
      <c r="DL81" t="s">
        <v>3</v>
      </c>
      <c r="DM81">
        <v>0</v>
      </c>
      <c r="DN81" t="s">
        <v>3</v>
      </c>
      <c r="DO81">
        <v>0</v>
      </c>
    </row>
    <row r="82" spans="1:119" x14ac:dyDescent="0.2">
      <c r="A82">
        <f>ROW(Source!A38)</f>
        <v>38</v>
      </c>
      <c r="B82">
        <v>40777027</v>
      </c>
      <c r="C82">
        <v>40777315</v>
      </c>
      <c r="D82">
        <v>38623631</v>
      </c>
      <c r="E82">
        <v>1</v>
      </c>
      <c r="F82">
        <v>1</v>
      </c>
      <c r="G82">
        <v>1</v>
      </c>
      <c r="H82">
        <v>3</v>
      </c>
      <c r="I82" t="s">
        <v>395</v>
      </c>
      <c r="J82" t="s">
        <v>396</v>
      </c>
      <c r="K82" t="s">
        <v>397</v>
      </c>
      <c r="L82">
        <v>1348</v>
      </c>
      <c r="N82">
        <v>1009</v>
      </c>
      <c r="O82" t="s">
        <v>119</v>
      </c>
      <c r="P82" t="s">
        <v>119</v>
      </c>
      <c r="Q82">
        <v>1000</v>
      </c>
      <c r="W82">
        <v>0</v>
      </c>
      <c r="X82">
        <v>50180059</v>
      </c>
      <c r="Y82">
        <f t="shared" ref="Y82:Y90" si="41">(AT82*0)</f>
        <v>0</v>
      </c>
      <c r="AA82">
        <v>273066.33</v>
      </c>
      <c r="AB82">
        <v>0</v>
      </c>
      <c r="AC82">
        <v>0</v>
      </c>
      <c r="AD82">
        <v>0</v>
      </c>
      <c r="AE82">
        <v>70197</v>
      </c>
      <c r="AF82">
        <v>0</v>
      </c>
      <c r="AG82">
        <v>0</v>
      </c>
      <c r="AH82">
        <v>0</v>
      </c>
      <c r="AI82">
        <v>3.89</v>
      </c>
      <c r="AJ82">
        <v>1</v>
      </c>
      <c r="AK82">
        <v>1</v>
      </c>
      <c r="AL82">
        <v>1</v>
      </c>
      <c r="AM82">
        <v>2</v>
      </c>
      <c r="AN82">
        <v>0</v>
      </c>
      <c r="AO82">
        <v>1</v>
      </c>
      <c r="AP82">
        <v>1</v>
      </c>
      <c r="AQ82">
        <v>0</v>
      </c>
      <c r="AR82">
        <v>0</v>
      </c>
      <c r="AS82" t="s">
        <v>3</v>
      </c>
      <c r="AT82">
        <v>5.9999999999999995E-4</v>
      </c>
      <c r="AU82" t="s">
        <v>19</v>
      </c>
      <c r="AV82">
        <v>0</v>
      </c>
      <c r="AW82">
        <v>2</v>
      </c>
      <c r="AX82">
        <v>40777335</v>
      </c>
      <c r="AY82">
        <v>1</v>
      </c>
      <c r="AZ82">
        <v>0</v>
      </c>
      <c r="BA82">
        <v>82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V82">
        <v>0</v>
      </c>
      <c r="CW82">
        <v>0</v>
      </c>
      <c r="CX82">
        <f>ROUND(Y82*Source!I38,9)</f>
        <v>0</v>
      </c>
      <c r="CY82">
        <f t="shared" ref="CY82:CY90" si="42">AA82</f>
        <v>273066.33</v>
      </c>
      <c r="CZ82">
        <f t="shared" ref="CZ82:CZ90" si="43">AE82</f>
        <v>70197</v>
      </c>
      <c r="DA82">
        <f t="shared" ref="DA82:DA90" si="44">AI82</f>
        <v>3.89</v>
      </c>
      <c r="DB82">
        <f t="shared" ref="DB82:DB90" si="45">ROUND((ROUND(AT82*CZ82,2)*0),2)</f>
        <v>0</v>
      </c>
      <c r="DC82">
        <f t="shared" ref="DC82:DC90" si="46">ROUND((ROUND(AT82*AG82,2)*0),2)</f>
        <v>0</v>
      </c>
      <c r="DD82" t="s">
        <v>3</v>
      </c>
      <c r="DE82" t="s">
        <v>3</v>
      </c>
      <c r="DF82">
        <f t="shared" ref="DF82:DF89" si="47">ROUND(ROUND(AE82*AI82,2)*CX82,2)</f>
        <v>0</v>
      </c>
      <c r="DG82">
        <f t="shared" ref="DG82:DG92" si="48">ROUND(ROUND(AF82,2)*CX82,2)</f>
        <v>0</v>
      </c>
      <c r="DH82">
        <f t="shared" ref="DH82:DH92" si="49">ROUND(ROUND(AG82,2)*CX82,2)</f>
        <v>0</v>
      </c>
      <c r="DI82">
        <f t="shared" si="31"/>
        <v>0</v>
      </c>
      <c r="DJ82">
        <f t="shared" ref="DJ82:DJ90" si="50">DF82</f>
        <v>0</v>
      </c>
      <c r="DK82">
        <v>0</v>
      </c>
      <c r="DL82" t="s">
        <v>3</v>
      </c>
      <c r="DM82">
        <v>0</v>
      </c>
      <c r="DN82" t="s">
        <v>3</v>
      </c>
      <c r="DO82">
        <v>0</v>
      </c>
    </row>
    <row r="83" spans="1:119" x14ac:dyDescent="0.2">
      <c r="A83">
        <f>ROW(Source!A38)</f>
        <v>38</v>
      </c>
      <c r="B83">
        <v>40777027</v>
      </c>
      <c r="C83">
        <v>40777315</v>
      </c>
      <c r="D83">
        <v>38621511</v>
      </c>
      <c r="E83">
        <v>1</v>
      </c>
      <c r="F83">
        <v>1</v>
      </c>
      <c r="G83">
        <v>1</v>
      </c>
      <c r="H83">
        <v>3</v>
      </c>
      <c r="I83" t="s">
        <v>418</v>
      </c>
      <c r="J83" t="s">
        <v>419</v>
      </c>
      <c r="K83" t="s">
        <v>420</v>
      </c>
      <c r="L83">
        <v>1346</v>
      </c>
      <c r="N83">
        <v>1009</v>
      </c>
      <c r="O83" t="s">
        <v>141</v>
      </c>
      <c r="P83" t="s">
        <v>141</v>
      </c>
      <c r="Q83">
        <v>1</v>
      </c>
      <c r="W83">
        <v>0</v>
      </c>
      <c r="X83">
        <v>166379540</v>
      </c>
      <c r="Y83">
        <f t="shared" si="41"/>
        <v>0</v>
      </c>
      <c r="AA83">
        <v>187.6</v>
      </c>
      <c r="AB83">
        <v>0</v>
      </c>
      <c r="AC83">
        <v>0</v>
      </c>
      <c r="AD83">
        <v>0</v>
      </c>
      <c r="AE83">
        <v>11.46</v>
      </c>
      <c r="AF83">
        <v>0</v>
      </c>
      <c r="AG83">
        <v>0</v>
      </c>
      <c r="AH83">
        <v>0</v>
      </c>
      <c r="AI83">
        <v>16.37</v>
      </c>
      <c r="AJ83">
        <v>1</v>
      </c>
      <c r="AK83">
        <v>1</v>
      </c>
      <c r="AL83">
        <v>1</v>
      </c>
      <c r="AM83">
        <v>2</v>
      </c>
      <c r="AN83">
        <v>0</v>
      </c>
      <c r="AO83">
        <v>1</v>
      </c>
      <c r="AP83">
        <v>1</v>
      </c>
      <c r="AQ83">
        <v>0</v>
      </c>
      <c r="AR83">
        <v>0</v>
      </c>
      <c r="AS83" t="s">
        <v>3</v>
      </c>
      <c r="AT83">
        <v>0.18</v>
      </c>
      <c r="AU83" t="s">
        <v>19</v>
      </c>
      <c r="AV83">
        <v>0</v>
      </c>
      <c r="AW83">
        <v>2</v>
      </c>
      <c r="AX83">
        <v>40777336</v>
      </c>
      <c r="AY83">
        <v>1</v>
      </c>
      <c r="AZ83">
        <v>0</v>
      </c>
      <c r="BA83">
        <v>83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V83">
        <v>0</v>
      </c>
      <c r="CW83">
        <v>0</v>
      </c>
      <c r="CX83">
        <f>ROUND(Y83*Source!I38,9)</f>
        <v>0</v>
      </c>
      <c r="CY83">
        <f t="shared" si="42"/>
        <v>187.6</v>
      </c>
      <c r="CZ83">
        <f t="shared" si="43"/>
        <v>11.46</v>
      </c>
      <c r="DA83">
        <f t="shared" si="44"/>
        <v>16.37</v>
      </c>
      <c r="DB83">
        <f t="shared" si="45"/>
        <v>0</v>
      </c>
      <c r="DC83">
        <f t="shared" si="46"/>
        <v>0</v>
      </c>
      <c r="DD83" t="s">
        <v>3</v>
      </c>
      <c r="DE83" t="s">
        <v>3</v>
      </c>
      <c r="DF83">
        <f t="shared" si="47"/>
        <v>0</v>
      </c>
      <c r="DG83">
        <f t="shared" si="48"/>
        <v>0</v>
      </c>
      <c r="DH83">
        <f t="shared" si="49"/>
        <v>0</v>
      </c>
      <c r="DI83">
        <f t="shared" si="31"/>
        <v>0</v>
      </c>
      <c r="DJ83">
        <f t="shared" si="50"/>
        <v>0</v>
      </c>
      <c r="DK83">
        <v>0</v>
      </c>
      <c r="DL83" t="s">
        <v>3</v>
      </c>
      <c r="DM83">
        <v>0</v>
      </c>
      <c r="DN83" t="s">
        <v>3</v>
      </c>
      <c r="DO83">
        <v>0</v>
      </c>
    </row>
    <row r="84" spans="1:119" x14ac:dyDescent="0.2">
      <c r="A84">
        <f>ROW(Source!A38)</f>
        <v>38</v>
      </c>
      <c r="B84">
        <v>40777027</v>
      </c>
      <c r="C84">
        <v>40777315</v>
      </c>
      <c r="D84">
        <v>38627343</v>
      </c>
      <c r="E84">
        <v>1</v>
      </c>
      <c r="F84">
        <v>1</v>
      </c>
      <c r="G84">
        <v>1</v>
      </c>
      <c r="H84">
        <v>3</v>
      </c>
      <c r="I84" t="s">
        <v>421</v>
      </c>
      <c r="J84" t="s">
        <v>422</v>
      </c>
      <c r="K84" t="s">
        <v>423</v>
      </c>
      <c r="L84">
        <v>1346</v>
      </c>
      <c r="N84">
        <v>1009</v>
      </c>
      <c r="O84" t="s">
        <v>141</v>
      </c>
      <c r="P84" t="s">
        <v>141</v>
      </c>
      <c r="Q84">
        <v>1</v>
      </c>
      <c r="W84">
        <v>0</v>
      </c>
      <c r="X84">
        <v>-1815671160</v>
      </c>
      <c r="Y84">
        <f t="shared" si="41"/>
        <v>0</v>
      </c>
      <c r="AA84">
        <v>288.39999999999998</v>
      </c>
      <c r="AB84">
        <v>0</v>
      </c>
      <c r="AC84">
        <v>0</v>
      </c>
      <c r="AD84">
        <v>0</v>
      </c>
      <c r="AE84">
        <v>9.49</v>
      </c>
      <c r="AF84">
        <v>0</v>
      </c>
      <c r="AG84">
        <v>0</v>
      </c>
      <c r="AH84">
        <v>0</v>
      </c>
      <c r="AI84">
        <v>30.39</v>
      </c>
      <c r="AJ84">
        <v>1</v>
      </c>
      <c r="AK84">
        <v>1</v>
      </c>
      <c r="AL84">
        <v>1</v>
      </c>
      <c r="AM84">
        <v>2</v>
      </c>
      <c r="AN84">
        <v>0</v>
      </c>
      <c r="AO84">
        <v>1</v>
      </c>
      <c r="AP84">
        <v>1</v>
      </c>
      <c r="AQ84">
        <v>0</v>
      </c>
      <c r="AR84">
        <v>0</v>
      </c>
      <c r="AS84" t="s">
        <v>3</v>
      </c>
      <c r="AT84">
        <v>26.96</v>
      </c>
      <c r="AU84" t="s">
        <v>19</v>
      </c>
      <c r="AV84">
        <v>0</v>
      </c>
      <c r="AW84">
        <v>2</v>
      </c>
      <c r="AX84">
        <v>40777337</v>
      </c>
      <c r="AY84">
        <v>1</v>
      </c>
      <c r="AZ84">
        <v>0</v>
      </c>
      <c r="BA84">
        <v>84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V84">
        <v>0</v>
      </c>
      <c r="CW84">
        <v>0</v>
      </c>
      <c r="CX84">
        <f>ROUND(Y84*Source!I38,9)</f>
        <v>0</v>
      </c>
      <c r="CY84">
        <f t="shared" si="42"/>
        <v>288.39999999999998</v>
      </c>
      <c r="CZ84">
        <f t="shared" si="43"/>
        <v>9.49</v>
      </c>
      <c r="DA84">
        <f t="shared" si="44"/>
        <v>30.39</v>
      </c>
      <c r="DB84">
        <f t="shared" si="45"/>
        <v>0</v>
      </c>
      <c r="DC84">
        <f t="shared" si="46"/>
        <v>0</v>
      </c>
      <c r="DD84" t="s">
        <v>3</v>
      </c>
      <c r="DE84" t="s">
        <v>3</v>
      </c>
      <c r="DF84">
        <f t="shared" si="47"/>
        <v>0</v>
      </c>
      <c r="DG84">
        <f t="shared" si="48"/>
        <v>0</v>
      </c>
      <c r="DH84">
        <f t="shared" si="49"/>
        <v>0</v>
      </c>
      <c r="DI84">
        <f t="shared" si="31"/>
        <v>0</v>
      </c>
      <c r="DJ84">
        <f t="shared" si="50"/>
        <v>0</v>
      </c>
      <c r="DK84">
        <v>0</v>
      </c>
      <c r="DL84" t="s">
        <v>3</v>
      </c>
      <c r="DM84">
        <v>0</v>
      </c>
      <c r="DN84" t="s">
        <v>3</v>
      </c>
      <c r="DO84">
        <v>0</v>
      </c>
    </row>
    <row r="85" spans="1:119" x14ac:dyDescent="0.2">
      <c r="A85">
        <f>ROW(Source!A38)</f>
        <v>38</v>
      </c>
      <c r="B85">
        <v>40777027</v>
      </c>
      <c r="C85">
        <v>40777315</v>
      </c>
      <c r="D85">
        <v>38621251</v>
      </c>
      <c r="E85">
        <v>1</v>
      </c>
      <c r="F85">
        <v>1</v>
      </c>
      <c r="G85">
        <v>1</v>
      </c>
      <c r="H85">
        <v>3</v>
      </c>
      <c r="I85" t="s">
        <v>424</v>
      </c>
      <c r="J85" t="s">
        <v>425</v>
      </c>
      <c r="K85" t="s">
        <v>426</v>
      </c>
      <c r="L85">
        <v>1346</v>
      </c>
      <c r="N85">
        <v>1009</v>
      </c>
      <c r="O85" t="s">
        <v>141</v>
      </c>
      <c r="P85" t="s">
        <v>141</v>
      </c>
      <c r="Q85">
        <v>1</v>
      </c>
      <c r="W85">
        <v>0</v>
      </c>
      <c r="X85">
        <v>-1865955471</v>
      </c>
      <c r="Y85">
        <f t="shared" si="41"/>
        <v>0</v>
      </c>
      <c r="AA85">
        <v>1239.76</v>
      </c>
      <c r="AB85">
        <v>0</v>
      </c>
      <c r="AC85">
        <v>0</v>
      </c>
      <c r="AD85">
        <v>0</v>
      </c>
      <c r="AE85">
        <v>135.05000000000001</v>
      </c>
      <c r="AF85">
        <v>0</v>
      </c>
      <c r="AG85">
        <v>0</v>
      </c>
      <c r="AH85">
        <v>0</v>
      </c>
      <c r="AI85">
        <v>9.18</v>
      </c>
      <c r="AJ85">
        <v>1</v>
      </c>
      <c r="AK85">
        <v>1</v>
      </c>
      <c r="AL85">
        <v>1</v>
      </c>
      <c r="AM85">
        <v>2</v>
      </c>
      <c r="AN85">
        <v>0</v>
      </c>
      <c r="AO85">
        <v>1</v>
      </c>
      <c r="AP85">
        <v>1</v>
      </c>
      <c r="AQ85">
        <v>0</v>
      </c>
      <c r="AR85">
        <v>0</v>
      </c>
      <c r="AS85" t="s">
        <v>3</v>
      </c>
      <c r="AT85">
        <v>0.1</v>
      </c>
      <c r="AU85" t="s">
        <v>19</v>
      </c>
      <c r="AV85">
        <v>0</v>
      </c>
      <c r="AW85">
        <v>2</v>
      </c>
      <c r="AX85">
        <v>40777338</v>
      </c>
      <c r="AY85">
        <v>1</v>
      </c>
      <c r="AZ85">
        <v>0</v>
      </c>
      <c r="BA85">
        <v>85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V85">
        <v>0</v>
      </c>
      <c r="CW85">
        <v>0</v>
      </c>
      <c r="CX85">
        <f>ROUND(Y85*Source!I38,9)</f>
        <v>0</v>
      </c>
      <c r="CY85">
        <f t="shared" si="42"/>
        <v>1239.76</v>
      </c>
      <c r="CZ85">
        <f t="shared" si="43"/>
        <v>135.05000000000001</v>
      </c>
      <c r="DA85">
        <f t="shared" si="44"/>
        <v>9.18</v>
      </c>
      <c r="DB85">
        <f t="shared" si="45"/>
        <v>0</v>
      </c>
      <c r="DC85">
        <f t="shared" si="46"/>
        <v>0</v>
      </c>
      <c r="DD85" t="s">
        <v>3</v>
      </c>
      <c r="DE85" t="s">
        <v>3</v>
      </c>
      <c r="DF85">
        <f t="shared" si="47"/>
        <v>0</v>
      </c>
      <c r="DG85">
        <f t="shared" si="48"/>
        <v>0</v>
      </c>
      <c r="DH85">
        <f t="shared" si="49"/>
        <v>0</v>
      </c>
      <c r="DI85">
        <f t="shared" si="31"/>
        <v>0</v>
      </c>
      <c r="DJ85">
        <f t="shared" si="50"/>
        <v>0</v>
      </c>
      <c r="DK85">
        <v>0</v>
      </c>
      <c r="DL85" t="s">
        <v>3</v>
      </c>
      <c r="DM85">
        <v>0</v>
      </c>
      <c r="DN85" t="s">
        <v>3</v>
      </c>
      <c r="DO85">
        <v>0</v>
      </c>
    </row>
    <row r="86" spans="1:119" x14ac:dyDescent="0.2">
      <c r="A86">
        <f>ROW(Source!A38)</f>
        <v>38</v>
      </c>
      <c r="B86">
        <v>40777027</v>
      </c>
      <c r="C86">
        <v>40777315</v>
      </c>
      <c r="D86">
        <v>38623941</v>
      </c>
      <c r="E86">
        <v>1</v>
      </c>
      <c r="F86">
        <v>1</v>
      </c>
      <c r="G86">
        <v>1</v>
      </c>
      <c r="H86">
        <v>3</v>
      </c>
      <c r="I86" t="s">
        <v>370</v>
      </c>
      <c r="J86" t="s">
        <v>371</v>
      </c>
      <c r="K86" t="s">
        <v>372</v>
      </c>
      <c r="L86">
        <v>1308</v>
      </c>
      <c r="N86">
        <v>1003</v>
      </c>
      <c r="O86" t="s">
        <v>373</v>
      </c>
      <c r="P86" t="s">
        <v>373</v>
      </c>
      <c r="Q86">
        <v>100</v>
      </c>
      <c r="W86">
        <v>0</v>
      </c>
      <c r="X86">
        <v>-737867663</v>
      </c>
      <c r="Y86">
        <f t="shared" si="41"/>
        <v>0</v>
      </c>
      <c r="AA86">
        <v>767.34</v>
      </c>
      <c r="AB86">
        <v>0</v>
      </c>
      <c r="AC86">
        <v>0</v>
      </c>
      <c r="AD86">
        <v>0</v>
      </c>
      <c r="AE86">
        <v>121.8</v>
      </c>
      <c r="AF86">
        <v>0</v>
      </c>
      <c r="AG86">
        <v>0</v>
      </c>
      <c r="AH86">
        <v>0</v>
      </c>
      <c r="AI86">
        <v>6.3</v>
      </c>
      <c r="AJ86">
        <v>1</v>
      </c>
      <c r="AK86">
        <v>1</v>
      </c>
      <c r="AL86">
        <v>1</v>
      </c>
      <c r="AM86">
        <v>2</v>
      </c>
      <c r="AN86">
        <v>0</v>
      </c>
      <c r="AO86">
        <v>1</v>
      </c>
      <c r="AP86">
        <v>1</v>
      </c>
      <c r="AQ86">
        <v>0</v>
      </c>
      <c r="AR86">
        <v>0</v>
      </c>
      <c r="AS86" t="s">
        <v>3</v>
      </c>
      <c r="AT86">
        <v>0.2</v>
      </c>
      <c r="AU86" t="s">
        <v>19</v>
      </c>
      <c r="AV86">
        <v>0</v>
      </c>
      <c r="AW86">
        <v>2</v>
      </c>
      <c r="AX86">
        <v>40777339</v>
      </c>
      <c r="AY86">
        <v>1</v>
      </c>
      <c r="AZ86">
        <v>0</v>
      </c>
      <c r="BA86">
        <v>86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V86">
        <v>0</v>
      </c>
      <c r="CW86">
        <v>0</v>
      </c>
      <c r="CX86">
        <f>ROUND(Y86*Source!I38,9)</f>
        <v>0</v>
      </c>
      <c r="CY86">
        <f t="shared" si="42"/>
        <v>767.34</v>
      </c>
      <c r="CZ86">
        <f t="shared" si="43"/>
        <v>121.8</v>
      </c>
      <c r="DA86">
        <f t="shared" si="44"/>
        <v>6.3</v>
      </c>
      <c r="DB86">
        <f t="shared" si="45"/>
        <v>0</v>
      </c>
      <c r="DC86">
        <f t="shared" si="46"/>
        <v>0</v>
      </c>
      <c r="DD86" t="s">
        <v>3</v>
      </c>
      <c r="DE86" t="s">
        <v>3</v>
      </c>
      <c r="DF86">
        <f t="shared" si="47"/>
        <v>0</v>
      </c>
      <c r="DG86">
        <f t="shared" si="48"/>
        <v>0</v>
      </c>
      <c r="DH86">
        <f t="shared" si="49"/>
        <v>0</v>
      </c>
      <c r="DI86">
        <f t="shared" si="31"/>
        <v>0</v>
      </c>
      <c r="DJ86">
        <f t="shared" si="50"/>
        <v>0</v>
      </c>
      <c r="DK86">
        <v>0</v>
      </c>
      <c r="DL86" t="s">
        <v>3</v>
      </c>
      <c r="DM86">
        <v>0</v>
      </c>
      <c r="DN86" t="s">
        <v>3</v>
      </c>
      <c r="DO86">
        <v>0</v>
      </c>
    </row>
    <row r="87" spans="1:119" x14ac:dyDescent="0.2">
      <c r="A87">
        <f>ROW(Source!A38)</f>
        <v>38</v>
      </c>
      <c r="B87">
        <v>40777027</v>
      </c>
      <c r="C87">
        <v>40777315</v>
      </c>
      <c r="D87">
        <v>38623980</v>
      </c>
      <c r="E87">
        <v>1</v>
      </c>
      <c r="F87">
        <v>1</v>
      </c>
      <c r="G87">
        <v>1</v>
      </c>
      <c r="H87">
        <v>3</v>
      </c>
      <c r="I87" t="s">
        <v>401</v>
      </c>
      <c r="J87" t="s">
        <v>402</v>
      </c>
      <c r="K87" t="s">
        <v>403</v>
      </c>
      <c r="L87">
        <v>1346</v>
      </c>
      <c r="N87">
        <v>1009</v>
      </c>
      <c r="O87" t="s">
        <v>141</v>
      </c>
      <c r="P87" t="s">
        <v>141</v>
      </c>
      <c r="Q87">
        <v>1</v>
      </c>
      <c r="W87">
        <v>0</v>
      </c>
      <c r="X87">
        <v>-572780356</v>
      </c>
      <c r="Y87">
        <f t="shared" si="41"/>
        <v>0</v>
      </c>
      <c r="AA87">
        <v>242.73</v>
      </c>
      <c r="AB87">
        <v>0</v>
      </c>
      <c r="AC87">
        <v>0</v>
      </c>
      <c r="AD87">
        <v>0</v>
      </c>
      <c r="AE87">
        <v>31</v>
      </c>
      <c r="AF87">
        <v>0</v>
      </c>
      <c r="AG87">
        <v>0</v>
      </c>
      <c r="AH87">
        <v>0</v>
      </c>
      <c r="AI87">
        <v>7.83</v>
      </c>
      <c r="AJ87">
        <v>1</v>
      </c>
      <c r="AK87">
        <v>1</v>
      </c>
      <c r="AL87">
        <v>1</v>
      </c>
      <c r="AM87">
        <v>2</v>
      </c>
      <c r="AN87">
        <v>0</v>
      </c>
      <c r="AO87">
        <v>1</v>
      </c>
      <c r="AP87">
        <v>1</v>
      </c>
      <c r="AQ87">
        <v>0</v>
      </c>
      <c r="AR87">
        <v>0</v>
      </c>
      <c r="AS87" t="s">
        <v>3</v>
      </c>
      <c r="AT87">
        <v>1.6</v>
      </c>
      <c r="AU87" t="s">
        <v>19</v>
      </c>
      <c r="AV87">
        <v>0</v>
      </c>
      <c r="AW87">
        <v>2</v>
      </c>
      <c r="AX87">
        <v>40777340</v>
      </c>
      <c r="AY87">
        <v>1</v>
      </c>
      <c r="AZ87">
        <v>0</v>
      </c>
      <c r="BA87">
        <v>87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V87">
        <v>0</v>
      </c>
      <c r="CW87">
        <v>0</v>
      </c>
      <c r="CX87">
        <f>ROUND(Y87*Source!I38,9)</f>
        <v>0</v>
      </c>
      <c r="CY87">
        <f t="shared" si="42"/>
        <v>242.73</v>
      </c>
      <c r="CZ87">
        <f t="shared" si="43"/>
        <v>31</v>
      </c>
      <c r="DA87">
        <f t="shared" si="44"/>
        <v>7.83</v>
      </c>
      <c r="DB87">
        <f t="shared" si="45"/>
        <v>0</v>
      </c>
      <c r="DC87">
        <f t="shared" si="46"/>
        <v>0</v>
      </c>
      <c r="DD87" t="s">
        <v>3</v>
      </c>
      <c r="DE87" t="s">
        <v>3</v>
      </c>
      <c r="DF87">
        <f t="shared" si="47"/>
        <v>0</v>
      </c>
      <c r="DG87">
        <f t="shared" si="48"/>
        <v>0</v>
      </c>
      <c r="DH87">
        <f t="shared" si="49"/>
        <v>0</v>
      </c>
      <c r="DI87">
        <f t="shared" si="31"/>
        <v>0</v>
      </c>
      <c r="DJ87">
        <f t="shared" si="50"/>
        <v>0</v>
      </c>
      <c r="DK87">
        <v>0</v>
      </c>
      <c r="DL87" t="s">
        <v>3</v>
      </c>
      <c r="DM87">
        <v>0</v>
      </c>
      <c r="DN87" t="s">
        <v>3</v>
      </c>
      <c r="DO87">
        <v>0</v>
      </c>
    </row>
    <row r="88" spans="1:119" x14ac:dyDescent="0.2">
      <c r="A88">
        <f>ROW(Source!A38)</f>
        <v>38</v>
      </c>
      <c r="B88">
        <v>40777027</v>
      </c>
      <c r="C88">
        <v>40777315</v>
      </c>
      <c r="D88">
        <v>38634325</v>
      </c>
      <c r="E88">
        <v>1</v>
      </c>
      <c r="F88">
        <v>1</v>
      </c>
      <c r="G88">
        <v>1</v>
      </c>
      <c r="H88">
        <v>3</v>
      </c>
      <c r="I88" t="s">
        <v>427</v>
      </c>
      <c r="J88" t="s">
        <v>428</v>
      </c>
      <c r="K88" t="s">
        <v>429</v>
      </c>
      <c r="L88">
        <v>1355</v>
      </c>
      <c r="N88">
        <v>1010</v>
      </c>
      <c r="O88" t="s">
        <v>430</v>
      </c>
      <c r="P88" t="s">
        <v>430</v>
      </c>
      <c r="Q88">
        <v>100</v>
      </c>
      <c r="W88">
        <v>0</v>
      </c>
      <c r="X88">
        <v>1361427642</v>
      </c>
      <c r="Y88">
        <f t="shared" si="41"/>
        <v>0</v>
      </c>
      <c r="AA88">
        <v>159.83000000000001</v>
      </c>
      <c r="AB88">
        <v>0</v>
      </c>
      <c r="AC88">
        <v>0</v>
      </c>
      <c r="AD88">
        <v>0</v>
      </c>
      <c r="AE88">
        <v>63.93</v>
      </c>
      <c r="AF88">
        <v>0</v>
      </c>
      <c r="AG88">
        <v>0</v>
      </c>
      <c r="AH88">
        <v>0</v>
      </c>
      <c r="AI88">
        <v>2.5</v>
      </c>
      <c r="AJ88">
        <v>1</v>
      </c>
      <c r="AK88">
        <v>1</v>
      </c>
      <c r="AL88">
        <v>1</v>
      </c>
      <c r="AM88">
        <v>2</v>
      </c>
      <c r="AN88">
        <v>0</v>
      </c>
      <c r="AO88">
        <v>1</v>
      </c>
      <c r="AP88">
        <v>1</v>
      </c>
      <c r="AQ88">
        <v>0</v>
      </c>
      <c r="AR88">
        <v>0</v>
      </c>
      <c r="AS88" t="s">
        <v>3</v>
      </c>
      <c r="AT88">
        <v>1.02</v>
      </c>
      <c r="AU88" t="s">
        <v>19</v>
      </c>
      <c r="AV88">
        <v>0</v>
      </c>
      <c r="AW88">
        <v>2</v>
      </c>
      <c r="AX88">
        <v>40777341</v>
      </c>
      <c r="AY88">
        <v>1</v>
      </c>
      <c r="AZ88">
        <v>0</v>
      </c>
      <c r="BA88">
        <v>88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V88">
        <v>0</v>
      </c>
      <c r="CW88">
        <v>0</v>
      </c>
      <c r="CX88">
        <f>ROUND(Y88*Source!I38,9)</f>
        <v>0</v>
      </c>
      <c r="CY88">
        <f t="shared" si="42"/>
        <v>159.83000000000001</v>
      </c>
      <c r="CZ88">
        <f t="shared" si="43"/>
        <v>63.93</v>
      </c>
      <c r="DA88">
        <f t="shared" si="44"/>
        <v>2.5</v>
      </c>
      <c r="DB88">
        <f t="shared" si="45"/>
        <v>0</v>
      </c>
      <c r="DC88">
        <f t="shared" si="46"/>
        <v>0</v>
      </c>
      <c r="DD88" t="s">
        <v>3</v>
      </c>
      <c r="DE88" t="s">
        <v>3</v>
      </c>
      <c r="DF88">
        <f t="shared" si="47"/>
        <v>0</v>
      </c>
      <c r="DG88">
        <f t="shared" si="48"/>
        <v>0</v>
      </c>
      <c r="DH88">
        <f t="shared" si="49"/>
        <v>0</v>
      </c>
      <c r="DI88">
        <f t="shared" si="31"/>
        <v>0</v>
      </c>
      <c r="DJ88">
        <f t="shared" si="50"/>
        <v>0</v>
      </c>
      <c r="DK88">
        <v>0</v>
      </c>
      <c r="DL88" t="s">
        <v>3</v>
      </c>
      <c r="DM88">
        <v>0</v>
      </c>
      <c r="DN88" t="s">
        <v>3</v>
      </c>
      <c r="DO88">
        <v>0</v>
      </c>
    </row>
    <row r="89" spans="1:119" x14ac:dyDescent="0.2">
      <c r="A89">
        <f>ROW(Source!A38)</f>
        <v>38</v>
      </c>
      <c r="B89">
        <v>40777027</v>
      </c>
      <c r="C89">
        <v>40777315</v>
      </c>
      <c r="D89">
        <v>38684468</v>
      </c>
      <c r="E89">
        <v>1</v>
      </c>
      <c r="F89">
        <v>1</v>
      </c>
      <c r="G89">
        <v>1</v>
      </c>
      <c r="H89">
        <v>3</v>
      </c>
      <c r="I89" t="s">
        <v>431</v>
      </c>
      <c r="J89" t="s">
        <v>432</v>
      </c>
      <c r="K89" t="s">
        <v>433</v>
      </c>
      <c r="L89">
        <v>1346</v>
      </c>
      <c r="N89">
        <v>1009</v>
      </c>
      <c r="O89" t="s">
        <v>141</v>
      </c>
      <c r="P89" t="s">
        <v>141</v>
      </c>
      <c r="Q89">
        <v>1</v>
      </c>
      <c r="W89">
        <v>0</v>
      </c>
      <c r="X89">
        <v>-1661696646</v>
      </c>
      <c r="Y89">
        <f t="shared" si="41"/>
        <v>0</v>
      </c>
      <c r="AA89">
        <v>204.26</v>
      </c>
      <c r="AB89">
        <v>0</v>
      </c>
      <c r="AC89">
        <v>0</v>
      </c>
      <c r="AD89">
        <v>0</v>
      </c>
      <c r="AE89">
        <v>45.9</v>
      </c>
      <c r="AF89">
        <v>0</v>
      </c>
      <c r="AG89">
        <v>0</v>
      </c>
      <c r="AH89">
        <v>0</v>
      </c>
      <c r="AI89">
        <v>4.45</v>
      </c>
      <c r="AJ89">
        <v>1</v>
      </c>
      <c r="AK89">
        <v>1</v>
      </c>
      <c r="AL89">
        <v>1</v>
      </c>
      <c r="AM89">
        <v>2</v>
      </c>
      <c r="AN89">
        <v>0</v>
      </c>
      <c r="AO89">
        <v>1</v>
      </c>
      <c r="AP89">
        <v>1</v>
      </c>
      <c r="AQ89">
        <v>0</v>
      </c>
      <c r="AR89">
        <v>0</v>
      </c>
      <c r="AS89" t="s">
        <v>3</v>
      </c>
      <c r="AT89">
        <v>0.6</v>
      </c>
      <c r="AU89" t="s">
        <v>19</v>
      </c>
      <c r="AV89">
        <v>0</v>
      </c>
      <c r="AW89">
        <v>2</v>
      </c>
      <c r="AX89">
        <v>40777342</v>
      </c>
      <c r="AY89">
        <v>1</v>
      </c>
      <c r="AZ89">
        <v>0</v>
      </c>
      <c r="BA89">
        <v>89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V89">
        <v>0</v>
      </c>
      <c r="CW89">
        <v>0</v>
      </c>
      <c r="CX89">
        <f>ROUND(Y89*Source!I38,9)</f>
        <v>0</v>
      </c>
      <c r="CY89">
        <f t="shared" si="42"/>
        <v>204.26</v>
      </c>
      <c r="CZ89">
        <f t="shared" si="43"/>
        <v>45.9</v>
      </c>
      <c r="DA89">
        <f t="shared" si="44"/>
        <v>4.45</v>
      </c>
      <c r="DB89">
        <f t="shared" si="45"/>
        <v>0</v>
      </c>
      <c r="DC89">
        <f t="shared" si="46"/>
        <v>0</v>
      </c>
      <c r="DD89" t="s">
        <v>3</v>
      </c>
      <c r="DE89" t="s">
        <v>3</v>
      </c>
      <c r="DF89">
        <f t="shared" si="47"/>
        <v>0</v>
      </c>
      <c r="DG89">
        <f t="shared" si="48"/>
        <v>0</v>
      </c>
      <c r="DH89">
        <f t="shared" si="49"/>
        <v>0</v>
      </c>
      <c r="DI89">
        <f t="shared" si="31"/>
        <v>0</v>
      </c>
      <c r="DJ89">
        <f t="shared" si="50"/>
        <v>0</v>
      </c>
      <c r="DK89">
        <v>0</v>
      </c>
      <c r="DL89" t="s">
        <v>3</v>
      </c>
      <c r="DM89">
        <v>0</v>
      </c>
      <c r="DN89" t="s">
        <v>3</v>
      </c>
      <c r="DO89">
        <v>0</v>
      </c>
    </row>
    <row r="90" spans="1:119" x14ac:dyDescent="0.2">
      <c r="A90">
        <f>ROW(Source!A38)</f>
        <v>38</v>
      </c>
      <c r="B90">
        <v>40777027</v>
      </c>
      <c r="C90">
        <v>40777315</v>
      </c>
      <c r="D90">
        <v>38684560</v>
      </c>
      <c r="E90">
        <v>1</v>
      </c>
      <c r="F90">
        <v>1</v>
      </c>
      <c r="G90">
        <v>1</v>
      </c>
      <c r="H90">
        <v>3</v>
      </c>
      <c r="I90" t="s">
        <v>354</v>
      </c>
      <c r="J90" t="s">
        <v>355</v>
      </c>
      <c r="K90" t="s">
        <v>356</v>
      </c>
      <c r="L90">
        <v>1374</v>
      </c>
      <c r="N90">
        <v>1013</v>
      </c>
      <c r="O90" t="s">
        <v>357</v>
      </c>
      <c r="P90" t="s">
        <v>357</v>
      </c>
      <c r="Q90">
        <v>1</v>
      </c>
      <c r="W90">
        <v>0</v>
      </c>
      <c r="X90">
        <v>2131831278</v>
      </c>
      <c r="Y90">
        <f t="shared" si="41"/>
        <v>0</v>
      </c>
      <c r="AA90">
        <v>1</v>
      </c>
      <c r="AB90">
        <v>0</v>
      </c>
      <c r="AC90">
        <v>0</v>
      </c>
      <c r="AD90">
        <v>0</v>
      </c>
      <c r="AE90">
        <v>1</v>
      </c>
      <c r="AF90">
        <v>0</v>
      </c>
      <c r="AG90">
        <v>0</v>
      </c>
      <c r="AH90">
        <v>0</v>
      </c>
      <c r="AI90">
        <v>1</v>
      </c>
      <c r="AJ90">
        <v>1</v>
      </c>
      <c r="AK90">
        <v>1</v>
      </c>
      <c r="AL90">
        <v>1</v>
      </c>
      <c r="AM90">
        <v>-2</v>
      </c>
      <c r="AN90">
        <v>0</v>
      </c>
      <c r="AO90">
        <v>1</v>
      </c>
      <c r="AP90">
        <v>1</v>
      </c>
      <c r="AQ90">
        <v>0</v>
      </c>
      <c r="AR90">
        <v>0</v>
      </c>
      <c r="AS90" t="s">
        <v>3</v>
      </c>
      <c r="AT90">
        <v>18.54</v>
      </c>
      <c r="AU90" t="s">
        <v>19</v>
      </c>
      <c r="AV90">
        <v>0</v>
      </c>
      <c r="AW90">
        <v>2</v>
      </c>
      <c r="AX90">
        <v>40777343</v>
      </c>
      <c r="AY90">
        <v>1</v>
      </c>
      <c r="AZ90">
        <v>0</v>
      </c>
      <c r="BA90">
        <v>90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V90">
        <v>0</v>
      </c>
      <c r="CW90">
        <v>0</v>
      </c>
      <c r="CX90">
        <f>ROUND(Y90*Source!I38,9)</f>
        <v>0</v>
      </c>
      <c r="CY90">
        <f t="shared" si="42"/>
        <v>1</v>
      </c>
      <c r="CZ90">
        <f t="shared" si="43"/>
        <v>1</v>
      </c>
      <c r="DA90">
        <f t="shared" si="44"/>
        <v>1</v>
      </c>
      <c r="DB90">
        <f t="shared" si="45"/>
        <v>0</v>
      </c>
      <c r="DC90">
        <f t="shared" si="46"/>
        <v>0</v>
      </c>
      <c r="DD90" t="s">
        <v>3</v>
      </c>
      <c r="DE90" t="s">
        <v>3</v>
      </c>
      <c r="DF90">
        <f t="shared" ref="DF90:DF100" si="51">ROUND(ROUND(AE90,2)*CX90,2)</f>
        <v>0</v>
      </c>
      <c r="DG90">
        <f t="shared" si="48"/>
        <v>0</v>
      </c>
      <c r="DH90">
        <f t="shared" si="49"/>
        <v>0</v>
      </c>
      <c r="DI90">
        <f t="shared" si="31"/>
        <v>0</v>
      </c>
      <c r="DJ90">
        <f t="shared" si="50"/>
        <v>0</v>
      </c>
      <c r="DK90">
        <v>0</v>
      </c>
      <c r="DL90" t="s">
        <v>3</v>
      </c>
      <c r="DM90">
        <v>0</v>
      </c>
      <c r="DN90" t="s">
        <v>3</v>
      </c>
      <c r="DO90">
        <v>0</v>
      </c>
    </row>
    <row r="91" spans="1:119" x14ac:dyDescent="0.2">
      <c r="A91">
        <f>ROW(Source!A39)</f>
        <v>39</v>
      </c>
      <c r="B91">
        <v>40777027</v>
      </c>
      <c r="C91">
        <v>40777344</v>
      </c>
      <c r="D91">
        <v>23146451</v>
      </c>
      <c r="E91">
        <v>1</v>
      </c>
      <c r="F91">
        <v>1</v>
      </c>
      <c r="G91">
        <v>1</v>
      </c>
      <c r="H91">
        <v>1</v>
      </c>
      <c r="I91" t="s">
        <v>434</v>
      </c>
      <c r="J91" t="s">
        <v>3</v>
      </c>
      <c r="K91" t="s">
        <v>435</v>
      </c>
      <c r="L91">
        <v>1369</v>
      </c>
      <c r="N91">
        <v>1013</v>
      </c>
      <c r="O91" t="s">
        <v>319</v>
      </c>
      <c r="P91" t="s">
        <v>319</v>
      </c>
      <c r="Q91">
        <v>1</v>
      </c>
      <c r="W91">
        <v>0</v>
      </c>
      <c r="X91">
        <v>1468083442</v>
      </c>
      <c r="Y91">
        <f t="shared" ref="Y91:Y100" si="52">AT91</f>
        <v>83.71</v>
      </c>
      <c r="AA91">
        <v>0</v>
      </c>
      <c r="AB91">
        <v>0</v>
      </c>
      <c r="AC91">
        <v>0</v>
      </c>
      <c r="AD91">
        <v>9.4</v>
      </c>
      <c r="AE91">
        <v>0</v>
      </c>
      <c r="AF91">
        <v>0</v>
      </c>
      <c r="AG91">
        <v>0</v>
      </c>
      <c r="AH91">
        <v>9.4</v>
      </c>
      <c r="AI91">
        <v>1</v>
      </c>
      <c r="AJ91">
        <v>1</v>
      </c>
      <c r="AK91">
        <v>1</v>
      </c>
      <c r="AL91">
        <v>1</v>
      </c>
      <c r="AM91">
        <v>-2</v>
      </c>
      <c r="AN91">
        <v>0</v>
      </c>
      <c r="AO91">
        <v>1</v>
      </c>
      <c r="AP91">
        <v>1</v>
      </c>
      <c r="AQ91">
        <v>0</v>
      </c>
      <c r="AR91">
        <v>0</v>
      </c>
      <c r="AS91" t="s">
        <v>3</v>
      </c>
      <c r="AT91">
        <v>83.71</v>
      </c>
      <c r="AU91" t="s">
        <v>3</v>
      </c>
      <c r="AV91">
        <v>1</v>
      </c>
      <c r="AW91">
        <v>2</v>
      </c>
      <c r="AX91">
        <v>40777362</v>
      </c>
      <c r="AY91">
        <v>1</v>
      </c>
      <c r="AZ91">
        <v>0</v>
      </c>
      <c r="BA91">
        <v>91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  <c r="BU91">
        <v>0</v>
      </c>
      <c r="BV91">
        <v>0</v>
      </c>
      <c r="BW91">
        <v>0</v>
      </c>
      <c r="CU91">
        <f>ROUND(AT91*Source!I39*AH91*AL91,2)</f>
        <v>613.76</v>
      </c>
      <c r="CV91">
        <f>ROUND(Y91*Source!I39,9)</f>
        <v>65.293800000000005</v>
      </c>
      <c r="CW91">
        <v>0</v>
      </c>
      <c r="CX91">
        <f>ROUND(Y91*Source!I39,9)</f>
        <v>65.293800000000005</v>
      </c>
      <c r="CY91">
        <f>AD91</f>
        <v>9.4</v>
      </c>
      <c r="CZ91">
        <f>AH91</f>
        <v>9.4</v>
      </c>
      <c r="DA91">
        <f>AL91</f>
        <v>1</v>
      </c>
      <c r="DB91">
        <f t="shared" ref="DB91:DB100" si="53">ROUND(ROUND(AT91*CZ91,2),2)</f>
        <v>786.87</v>
      </c>
      <c r="DC91">
        <f t="shared" ref="DC91:DC100" si="54">ROUND(ROUND(AT91*AG91,2),2)</f>
        <v>0</v>
      </c>
      <c r="DD91" t="s">
        <v>3</v>
      </c>
      <c r="DE91" t="s">
        <v>3</v>
      </c>
      <c r="DF91">
        <f t="shared" si="51"/>
        <v>0</v>
      </c>
      <c r="DG91">
        <f t="shared" si="48"/>
        <v>0</v>
      </c>
      <c r="DH91">
        <f t="shared" si="49"/>
        <v>0</v>
      </c>
      <c r="DI91">
        <f t="shared" si="31"/>
        <v>613.76</v>
      </c>
      <c r="DJ91">
        <f>DI91</f>
        <v>613.76</v>
      </c>
      <c r="DK91">
        <v>0</v>
      </c>
      <c r="DL91" t="s">
        <v>3</v>
      </c>
      <c r="DM91">
        <v>0</v>
      </c>
      <c r="DN91" t="s">
        <v>3</v>
      </c>
      <c r="DO91">
        <v>0</v>
      </c>
    </row>
    <row r="92" spans="1:119" x14ac:dyDescent="0.2">
      <c r="A92">
        <f>ROW(Source!A39)</f>
        <v>39</v>
      </c>
      <c r="B92">
        <v>40777027</v>
      </c>
      <c r="C92">
        <v>40777344</v>
      </c>
      <c r="D92">
        <v>121548</v>
      </c>
      <c r="E92">
        <v>1</v>
      </c>
      <c r="F92">
        <v>1</v>
      </c>
      <c r="G92">
        <v>1</v>
      </c>
      <c r="H92">
        <v>1</v>
      </c>
      <c r="I92" t="s">
        <v>26</v>
      </c>
      <c r="J92" t="s">
        <v>3</v>
      </c>
      <c r="K92" t="s">
        <v>320</v>
      </c>
      <c r="L92">
        <v>608254</v>
      </c>
      <c r="N92">
        <v>1013</v>
      </c>
      <c r="O92" t="s">
        <v>321</v>
      </c>
      <c r="P92" t="s">
        <v>321</v>
      </c>
      <c r="Q92">
        <v>1</v>
      </c>
      <c r="W92">
        <v>0</v>
      </c>
      <c r="X92">
        <v>-185737400</v>
      </c>
      <c r="Y92">
        <f t="shared" si="52"/>
        <v>71.78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1</v>
      </c>
      <c r="AJ92">
        <v>1</v>
      </c>
      <c r="AK92">
        <v>1</v>
      </c>
      <c r="AL92">
        <v>1</v>
      </c>
      <c r="AM92">
        <v>-2</v>
      </c>
      <c r="AN92">
        <v>0</v>
      </c>
      <c r="AO92">
        <v>1</v>
      </c>
      <c r="AP92">
        <v>1</v>
      </c>
      <c r="AQ92">
        <v>0</v>
      </c>
      <c r="AR92">
        <v>0</v>
      </c>
      <c r="AS92" t="s">
        <v>3</v>
      </c>
      <c r="AT92">
        <v>71.78</v>
      </c>
      <c r="AU92" t="s">
        <v>3</v>
      </c>
      <c r="AV92">
        <v>2</v>
      </c>
      <c r="AW92">
        <v>2</v>
      </c>
      <c r="AX92">
        <v>40777363</v>
      </c>
      <c r="AY92">
        <v>1</v>
      </c>
      <c r="AZ92">
        <v>0</v>
      </c>
      <c r="BA92">
        <v>92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  <c r="BU92">
        <v>0</v>
      </c>
      <c r="BV92">
        <v>0</v>
      </c>
      <c r="BW92">
        <v>0</v>
      </c>
      <c r="CV92">
        <v>0</v>
      </c>
      <c r="CW92">
        <v>0</v>
      </c>
      <c r="CX92">
        <f>ROUND(Y92*Source!I39,9)</f>
        <v>55.988399999999999</v>
      </c>
      <c r="CY92">
        <f>AD92</f>
        <v>0</v>
      </c>
      <c r="CZ92">
        <f>AH92</f>
        <v>0</v>
      </c>
      <c r="DA92">
        <f>AL92</f>
        <v>1</v>
      </c>
      <c r="DB92">
        <f t="shared" si="53"/>
        <v>0</v>
      </c>
      <c r="DC92">
        <f t="shared" si="54"/>
        <v>0</v>
      </c>
      <c r="DD92" t="s">
        <v>3</v>
      </c>
      <c r="DE92" t="s">
        <v>3</v>
      </c>
      <c r="DF92">
        <f t="shared" si="51"/>
        <v>0</v>
      </c>
      <c r="DG92">
        <f t="shared" si="48"/>
        <v>0</v>
      </c>
      <c r="DH92">
        <f t="shared" si="49"/>
        <v>0</v>
      </c>
      <c r="DI92">
        <f t="shared" si="31"/>
        <v>0</v>
      </c>
      <c r="DJ92">
        <f>DI92</f>
        <v>0</v>
      </c>
      <c r="DK92">
        <v>0</v>
      </c>
      <c r="DL92" t="s">
        <v>3</v>
      </c>
      <c r="DM92">
        <v>0</v>
      </c>
      <c r="DN92" t="s">
        <v>3</v>
      </c>
      <c r="DO92">
        <v>0</v>
      </c>
    </row>
    <row r="93" spans="1:119" x14ac:dyDescent="0.2">
      <c r="A93">
        <f>ROW(Source!A39)</f>
        <v>39</v>
      </c>
      <c r="B93">
        <v>40777027</v>
      </c>
      <c r="C93">
        <v>40777344</v>
      </c>
      <c r="D93">
        <v>38685084</v>
      </c>
      <c r="E93">
        <v>1</v>
      </c>
      <c r="F93">
        <v>1</v>
      </c>
      <c r="G93">
        <v>1</v>
      </c>
      <c r="H93">
        <v>2</v>
      </c>
      <c r="I93" t="s">
        <v>436</v>
      </c>
      <c r="J93" t="s">
        <v>437</v>
      </c>
      <c r="K93" t="s">
        <v>438</v>
      </c>
      <c r="L93">
        <v>1368</v>
      </c>
      <c r="N93">
        <v>1011</v>
      </c>
      <c r="O93" t="s">
        <v>325</v>
      </c>
      <c r="P93" t="s">
        <v>325</v>
      </c>
      <c r="Q93">
        <v>1</v>
      </c>
      <c r="W93">
        <v>0</v>
      </c>
      <c r="X93">
        <v>-1141744549</v>
      </c>
      <c r="Y93">
        <f t="shared" si="52"/>
        <v>7.61</v>
      </c>
      <c r="AA93">
        <v>0</v>
      </c>
      <c r="AB93">
        <v>1915.09</v>
      </c>
      <c r="AC93">
        <v>393.37</v>
      </c>
      <c r="AD93">
        <v>0</v>
      </c>
      <c r="AE93">
        <v>0</v>
      </c>
      <c r="AF93">
        <v>183.79</v>
      </c>
      <c r="AG93">
        <v>12.1</v>
      </c>
      <c r="AH93">
        <v>0</v>
      </c>
      <c r="AI93">
        <v>1</v>
      </c>
      <c r="AJ93">
        <v>10.42</v>
      </c>
      <c r="AK93">
        <v>32.51</v>
      </c>
      <c r="AL93">
        <v>1</v>
      </c>
      <c r="AM93">
        <v>2</v>
      </c>
      <c r="AN93">
        <v>0</v>
      </c>
      <c r="AO93">
        <v>1</v>
      </c>
      <c r="AP93">
        <v>1</v>
      </c>
      <c r="AQ93">
        <v>0</v>
      </c>
      <c r="AR93">
        <v>0</v>
      </c>
      <c r="AS93" t="s">
        <v>3</v>
      </c>
      <c r="AT93">
        <v>7.61</v>
      </c>
      <c r="AU93" t="s">
        <v>3</v>
      </c>
      <c r="AV93">
        <v>0</v>
      </c>
      <c r="AW93">
        <v>2</v>
      </c>
      <c r="AX93">
        <v>40777364</v>
      </c>
      <c r="AY93">
        <v>1</v>
      </c>
      <c r="AZ93">
        <v>0</v>
      </c>
      <c r="BA93">
        <v>93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  <c r="BU93">
        <v>0</v>
      </c>
      <c r="BV93">
        <v>0</v>
      </c>
      <c r="BW93">
        <v>0</v>
      </c>
      <c r="CV93">
        <v>0</v>
      </c>
      <c r="CW93">
        <f>ROUND(Y93*Source!I39,9)</f>
        <v>5.9358000000000004</v>
      </c>
      <c r="CX93">
        <f>ROUND(Y93*Source!I39,9)</f>
        <v>5.9358000000000004</v>
      </c>
      <c r="CY93">
        <f t="shared" ref="CY93:CY100" si="55">AB93</f>
        <v>1915.09</v>
      </c>
      <c r="CZ93">
        <f t="shared" ref="CZ93:CZ100" si="56">AF93</f>
        <v>183.79</v>
      </c>
      <c r="DA93">
        <f t="shared" ref="DA93:DA100" si="57">AJ93</f>
        <v>10.42</v>
      </c>
      <c r="DB93">
        <f t="shared" si="53"/>
        <v>1398.64</v>
      </c>
      <c r="DC93">
        <f t="shared" si="54"/>
        <v>92.08</v>
      </c>
      <c r="DD93" t="s">
        <v>3</v>
      </c>
      <c r="DE93" t="s">
        <v>3</v>
      </c>
      <c r="DF93">
        <f t="shared" si="51"/>
        <v>0</v>
      </c>
      <c r="DG93">
        <f t="shared" ref="DG93:DG100" si="58">ROUND(ROUND(AF93*AJ93,2)*CX93,2)</f>
        <v>11367.59</v>
      </c>
      <c r="DH93">
        <f t="shared" ref="DH93:DH100" si="59">ROUND(ROUND(AG93*AK93,2)*CX93,2)</f>
        <v>2334.9699999999998</v>
      </c>
      <c r="DI93">
        <f t="shared" si="31"/>
        <v>0</v>
      </c>
      <c r="DJ93">
        <f t="shared" ref="DJ93:DJ100" si="60">DG93</f>
        <v>11367.59</v>
      </c>
      <c r="DK93">
        <v>0</v>
      </c>
      <c r="DL93" t="s">
        <v>3</v>
      </c>
      <c r="DM93">
        <v>0</v>
      </c>
      <c r="DN93" t="s">
        <v>3</v>
      </c>
      <c r="DO93">
        <v>0</v>
      </c>
    </row>
    <row r="94" spans="1:119" x14ac:dyDescent="0.2">
      <c r="A94">
        <f>ROW(Source!A39)</f>
        <v>39</v>
      </c>
      <c r="B94">
        <v>40777027</v>
      </c>
      <c r="C94">
        <v>40777344</v>
      </c>
      <c r="D94">
        <v>38685269</v>
      </c>
      <c r="E94">
        <v>1</v>
      </c>
      <c r="F94">
        <v>1</v>
      </c>
      <c r="G94">
        <v>1</v>
      </c>
      <c r="H94">
        <v>2</v>
      </c>
      <c r="I94" t="s">
        <v>439</v>
      </c>
      <c r="J94" t="s">
        <v>440</v>
      </c>
      <c r="K94" t="s">
        <v>441</v>
      </c>
      <c r="L94">
        <v>1368</v>
      </c>
      <c r="N94">
        <v>1011</v>
      </c>
      <c r="O94" t="s">
        <v>325</v>
      </c>
      <c r="P94" t="s">
        <v>325</v>
      </c>
      <c r="Q94">
        <v>1</v>
      </c>
      <c r="W94">
        <v>0</v>
      </c>
      <c r="X94">
        <v>245639009</v>
      </c>
      <c r="Y94">
        <f t="shared" si="52"/>
        <v>31.43</v>
      </c>
      <c r="AA94">
        <v>0</v>
      </c>
      <c r="AB94">
        <v>489.52</v>
      </c>
      <c r="AC94">
        <v>336.48</v>
      </c>
      <c r="AD94">
        <v>0</v>
      </c>
      <c r="AE94">
        <v>0</v>
      </c>
      <c r="AF94">
        <v>29.26</v>
      </c>
      <c r="AG94">
        <v>10.35</v>
      </c>
      <c r="AH94">
        <v>0</v>
      </c>
      <c r="AI94">
        <v>1</v>
      </c>
      <c r="AJ94">
        <v>16.73</v>
      </c>
      <c r="AK94">
        <v>32.51</v>
      </c>
      <c r="AL94">
        <v>1</v>
      </c>
      <c r="AM94">
        <v>2</v>
      </c>
      <c r="AN94">
        <v>0</v>
      </c>
      <c r="AO94">
        <v>1</v>
      </c>
      <c r="AP94">
        <v>1</v>
      </c>
      <c r="AQ94">
        <v>0</v>
      </c>
      <c r="AR94">
        <v>0</v>
      </c>
      <c r="AS94" t="s">
        <v>3</v>
      </c>
      <c r="AT94">
        <v>31.43</v>
      </c>
      <c r="AU94" t="s">
        <v>3</v>
      </c>
      <c r="AV94">
        <v>0</v>
      </c>
      <c r="AW94">
        <v>2</v>
      </c>
      <c r="AX94">
        <v>40777365</v>
      </c>
      <c r="AY94">
        <v>1</v>
      </c>
      <c r="AZ94">
        <v>0</v>
      </c>
      <c r="BA94">
        <v>94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  <c r="BU94">
        <v>0</v>
      </c>
      <c r="BV94">
        <v>0</v>
      </c>
      <c r="BW94">
        <v>0</v>
      </c>
      <c r="CV94">
        <v>0</v>
      </c>
      <c r="CW94">
        <f>ROUND(Y94*Source!I39,9)</f>
        <v>24.5154</v>
      </c>
      <c r="CX94">
        <f>ROUND(Y94*Source!I39,9)</f>
        <v>24.5154</v>
      </c>
      <c r="CY94">
        <f t="shared" si="55"/>
        <v>489.52</v>
      </c>
      <c r="CZ94">
        <f t="shared" si="56"/>
        <v>29.26</v>
      </c>
      <c r="DA94">
        <f t="shared" si="57"/>
        <v>16.73</v>
      </c>
      <c r="DB94">
        <f t="shared" si="53"/>
        <v>919.64</v>
      </c>
      <c r="DC94">
        <f t="shared" si="54"/>
        <v>325.3</v>
      </c>
      <c r="DD94" t="s">
        <v>3</v>
      </c>
      <c r="DE94" t="s">
        <v>3</v>
      </c>
      <c r="DF94">
        <f t="shared" si="51"/>
        <v>0</v>
      </c>
      <c r="DG94">
        <f t="shared" si="58"/>
        <v>12000.78</v>
      </c>
      <c r="DH94">
        <f t="shared" si="59"/>
        <v>8248.94</v>
      </c>
      <c r="DI94">
        <f t="shared" si="31"/>
        <v>0</v>
      </c>
      <c r="DJ94">
        <f t="shared" si="60"/>
        <v>12000.78</v>
      </c>
      <c r="DK94">
        <v>0</v>
      </c>
      <c r="DL94" t="s">
        <v>3</v>
      </c>
      <c r="DM94">
        <v>0</v>
      </c>
      <c r="DN94" t="s">
        <v>3</v>
      </c>
      <c r="DO94">
        <v>0</v>
      </c>
    </row>
    <row r="95" spans="1:119" x14ac:dyDescent="0.2">
      <c r="A95">
        <f>ROW(Source!A39)</f>
        <v>39</v>
      </c>
      <c r="B95">
        <v>40777027</v>
      </c>
      <c r="C95">
        <v>40777344</v>
      </c>
      <c r="D95">
        <v>38685278</v>
      </c>
      <c r="E95">
        <v>1</v>
      </c>
      <c r="F95">
        <v>1</v>
      </c>
      <c r="G95">
        <v>1</v>
      </c>
      <c r="H95">
        <v>2</v>
      </c>
      <c r="I95" t="s">
        <v>442</v>
      </c>
      <c r="J95" t="s">
        <v>443</v>
      </c>
      <c r="K95" t="s">
        <v>444</v>
      </c>
      <c r="L95">
        <v>1368</v>
      </c>
      <c r="N95">
        <v>1011</v>
      </c>
      <c r="O95" t="s">
        <v>325</v>
      </c>
      <c r="P95" t="s">
        <v>325</v>
      </c>
      <c r="Q95">
        <v>1</v>
      </c>
      <c r="W95">
        <v>0</v>
      </c>
      <c r="X95">
        <v>1153725797</v>
      </c>
      <c r="Y95">
        <f t="shared" si="52"/>
        <v>22.9</v>
      </c>
      <c r="AA95">
        <v>0</v>
      </c>
      <c r="AB95">
        <v>459.83</v>
      </c>
      <c r="AC95">
        <v>0</v>
      </c>
      <c r="AD95">
        <v>0</v>
      </c>
      <c r="AE95">
        <v>0</v>
      </c>
      <c r="AF95">
        <v>14.14</v>
      </c>
      <c r="AG95">
        <v>0</v>
      </c>
      <c r="AH95">
        <v>0</v>
      </c>
      <c r="AI95">
        <v>1</v>
      </c>
      <c r="AJ95">
        <v>32.520000000000003</v>
      </c>
      <c r="AK95">
        <v>32.51</v>
      </c>
      <c r="AL95">
        <v>1</v>
      </c>
      <c r="AM95">
        <v>2</v>
      </c>
      <c r="AN95">
        <v>0</v>
      </c>
      <c r="AO95">
        <v>1</v>
      </c>
      <c r="AP95">
        <v>1</v>
      </c>
      <c r="AQ95">
        <v>0</v>
      </c>
      <c r="AR95">
        <v>0</v>
      </c>
      <c r="AS95" t="s">
        <v>3</v>
      </c>
      <c r="AT95">
        <v>22.9</v>
      </c>
      <c r="AU95" t="s">
        <v>3</v>
      </c>
      <c r="AV95">
        <v>0</v>
      </c>
      <c r="AW95">
        <v>2</v>
      </c>
      <c r="AX95">
        <v>40777366</v>
      </c>
      <c r="AY95">
        <v>1</v>
      </c>
      <c r="AZ95">
        <v>0</v>
      </c>
      <c r="BA95">
        <v>95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  <c r="BU95">
        <v>0</v>
      </c>
      <c r="BV95">
        <v>0</v>
      </c>
      <c r="BW95">
        <v>0</v>
      </c>
      <c r="CV95">
        <v>0</v>
      </c>
      <c r="CW95">
        <f>ROUND(Y95*Source!I39,9)</f>
        <v>17.861999999999998</v>
      </c>
      <c r="CX95">
        <f>ROUND(Y95*Source!I39,9)</f>
        <v>17.861999999999998</v>
      </c>
      <c r="CY95">
        <f t="shared" si="55"/>
        <v>459.83</v>
      </c>
      <c r="CZ95">
        <f t="shared" si="56"/>
        <v>14.14</v>
      </c>
      <c r="DA95">
        <f t="shared" si="57"/>
        <v>32.520000000000003</v>
      </c>
      <c r="DB95">
        <f t="shared" si="53"/>
        <v>323.81</v>
      </c>
      <c r="DC95">
        <f t="shared" si="54"/>
        <v>0</v>
      </c>
      <c r="DD95" t="s">
        <v>3</v>
      </c>
      <c r="DE95" t="s">
        <v>3</v>
      </c>
      <c r="DF95">
        <f t="shared" si="51"/>
        <v>0</v>
      </c>
      <c r="DG95">
        <f t="shared" si="58"/>
        <v>8213.48</v>
      </c>
      <c r="DH95">
        <f t="shared" si="59"/>
        <v>0</v>
      </c>
      <c r="DI95">
        <f t="shared" si="31"/>
        <v>0</v>
      </c>
      <c r="DJ95">
        <f t="shared" si="60"/>
        <v>8213.48</v>
      </c>
      <c r="DK95">
        <v>0</v>
      </c>
      <c r="DL95" t="s">
        <v>3</v>
      </c>
      <c r="DM95">
        <v>0</v>
      </c>
      <c r="DN95" t="s">
        <v>3</v>
      </c>
      <c r="DO95">
        <v>0</v>
      </c>
    </row>
    <row r="96" spans="1:119" x14ac:dyDescent="0.2">
      <c r="A96">
        <f>ROW(Source!A39)</f>
        <v>39</v>
      </c>
      <c r="B96">
        <v>40777027</v>
      </c>
      <c r="C96">
        <v>40777344</v>
      </c>
      <c r="D96">
        <v>38685289</v>
      </c>
      <c r="E96">
        <v>1</v>
      </c>
      <c r="F96">
        <v>1</v>
      </c>
      <c r="G96">
        <v>1</v>
      </c>
      <c r="H96">
        <v>2</v>
      </c>
      <c r="I96" t="s">
        <v>445</v>
      </c>
      <c r="J96" t="s">
        <v>446</v>
      </c>
      <c r="K96" t="s">
        <v>447</v>
      </c>
      <c r="L96">
        <v>1368</v>
      </c>
      <c r="N96">
        <v>1011</v>
      </c>
      <c r="O96" t="s">
        <v>325</v>
      </c>
      <c r="P96" t="s">
        <v>325</v>
      </c>
      <c r="Q96">
        <v>1</v>
      </c>
      <c r="W96">
        <v>0</v>
      </c>
      <c r="X96">
        <v>4083802</v>
      </c>
      <c r="Y96">
        <f t="shared" si="52"/>
        <v>8.5</v>
      </c>
      <c r="AA96">
        <v>0</v>
      </c>
      <c r="AB96">
        <v>9.35</v>
      </c>
      <c r="AC96">
        <v>0</v>
      </c>
      <c r="AD96">
        <v>0</v>
      </c>
      <c r="AE96">
        <v>0</v>
      </c>
      <c r="AF96">
        <v>1.43</v>
      </c>
      <c r="AG96">
        <v>0</v>
      </c>
      <c r="AH96">
        <v>0</v>
      </c>
      <c r="AI96">
        <v>1</v>
      </c>
      <c r="AJ96">
        <v>6.54</v>
      </c>
      <c r="AK96">
        <v>32.51</v>
      </c>
      <c r="AL96">
        <v>1</v>
      </c>
      <c r="AM96">
        <v>2</v>
      </c>
      <c r="AN96">
        <v>0</v>
      </c>
      <c r="AO96">
        <v>1</v>
      </c>
      <c r="AP96">
        <v>1</v>
      </c>
      <c r="AQ96">
        <v>0</v>
      </c>
      <c r="AR96">
        <v>0</v>
      </c>
      <c r="AS96" t="s">
        <v>3</v>
      </c>
      <c r="AT96">
        <v>8.5</v>
      </c>
      <c r="AU96" t="s">
        <v>3</v>
      </c>
      <c r="AV96">
        <v>0</v>
      </c>
      <c r="AW96">
        <v>2</v>
      </c>
      <c r="AX96">
        <v>40777367</v>
      </c>
      <c r="AY96">
        <v>1</v>
      </c>
      <c r="AZ96">
        <v>0</v>
      </c>
      <c r="BA96">
        <v>96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  <c r="BU96">
        <v>0</v>
      </c>
      <c r="BV96">
        <v>0</v>
      </c>
      <c r="BW96">
        <v>0</v>
      </c>
      <c r="CV96">
        <v>0</v>
      </c>
      <c r="CW96">
        <f>ROUND(Y96*Source!I39,9)</f>
        <v>6.63</v>
      </c>
      <c r="CX96">
        <f>ROUND(Y96*Source!I39,9)</f>
        <v>6.63</v>
      </c>
      <c r="CY96">
        <f t="shared" si="55"/>
        <v>9.35</v>
      </c>
      <c r="CZ96">
        <f t="shared" si="56"/>
        <v>1.43</v>
      </c>
      <c r="DA96">
        <f t="shared" si="57"/>
        <v>6.54</v>
      </c>
      <c r="DB96">
        <f t="shared" si="53"/>
        <v>12.16</v>
      </c>
      <c r="DC96">
        <f t="shared" si="54"/>
        <v>0</v>
      </c>
      <c r="DD96" t="s">
        <v>3</v>
      </c>
      <c r="DE96" t="s">
        <v>3</v>
      </c>
      <c r="DF96">
        <f t="shared" si="51"/>
        <v>0</v>
      </c>
      <c r="DG96">
        <f t="shared" si="58"/>
        <v>61.99</v>
      </c>
      <c r="DH96">
        <f t="shared" si="59"/>
        <v>0</v>
      </c>
      <c r="DI96">
        <f t="shared" si="31"/>
        <v>0</v>
      </c>
      <c r="DJ96">
        <f t="shared" si="60"/>
        <v>61.99</v>
      </c>
      <c r="DK96">
        <v>0</v>
      </c>
      <c r="DL96" t="s">
        <v>3</v>
      </c>
      <c r="DM96">
        <v>0</v>
      </c>
      <c r="DN96" t="s">
        <v>3</v>
      </c>
      <c r="DO96">
        <v>0</v>
      </c>
    </row>
    <row r="97" spans="1:119" x14ac:dyDescent="0.2">
      <c r="A97">
        <f>ROW(Source!A39)</f>
        <v>39</v>
      </c>
      <c r="B97">
        <v>40777027</v>
      </c>
      <c r="C97">
        <v>40777344</v>
      </c>
      <c r="D97">
        <v>38685389</v>
      </c>
      <c r="E97">
        <v>1</v>
      </c>
      <c r="F97">
        <v>1</v>
      </c>
      <c r="G97">
        <v>1</v>
      </c>
      <c r="H97">
        <v>2</v>
      </c>
      <c r="I97" t="s">
        <v>448</v>
      </c>
      <c r="J97" t="s">
        <v>449</v>
      </c>
      <c r="K97" t="s">
        <v>450</v>
      </c>
      <c r="L97">
        <v>1368</v>
      </c>
      <c r="N97">
        <v>1011</v>
      </c>
      <c r="O97" t="s">
        <v>325</v>
      </c>
      <c r="P97" t="s">
        <v>325</v>
      </c>
      <c r="Q97">
        <v>1</v>
      </c>
      <c r="W97">
        <v>0</v>
      </c>
      <c r="X97">
        <v>375964040</v>
      </c>
      <c r="Y97">
        <f t="shared" si="52"/>
        <v>0.34</v>
      </c>
      <c r="AA97">
        <v>0</v>
      </c>
      <c r="AB97">
        <v>1771.59</v>
      </c>
      <c r="AC97">
        <v>336.48</v>
      </c>
      <c r="AD97">
        <v>0</v>
      </c>
      <c r="AE97">
        <v>0</v>
      </c>
      <c r="AF97">
        <v>108.62</v>
      </c>
      <c r="AG97">
        <v>10.35</v>
      </c>
      <c r="AH97">
        <v>0</v>
      </c>
      <c r="AI97">
        <v>1</v>
      </c>
      <c r="AJ97">
        <v>16.309999999999999</v>
      </c>
      <c r="AK97">
        <v>32.51</v>
      </c>
      <c r="AL97">
        <v>1</v>
      </c>
      <c r="AM97">
        <v>2</v>
      </c>
      <c r="AN97">
        <v>0</v>
      </c>
      <c r="AO97">
        <v>1</v>
      </c>
      <c r="AP97">
        <v>1</v>
      </c>
      <c r="AQ97">
        <v>0</v>
      </c>
      <c r="AR97">
        <v>0</v>
      </c>
      <c r="AS97" t="s">
        <v>3</v>
      </c>
      <c r="AT97">
        <v>0.34</v>
      </c>
      <c r="AU97" t="s">
        <v>3</v>
      </c>
      <c r="AV97">
        <v>0</v>
      </c>
      <c r="AW97">
        <v>2</v>
      </c>
      <c r="AX97">
        <v>40777368</v>
      </c>
      <c r="AY97">
        <v>1</v>
      </c>
      <c r="AZ97">
        <v>0</v>
      </c>
      <c r="BA97">
        <v>97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  <c r="BU97">
        <v>0</v>
      </c>
      <c r="BV97">
        <v>0</v>
      </c>
      <c r="BW97">
        <v>0</v>
      </c>
      <c r="CV97">
        <v>0</v>
      </c>
      <c r="CW97">
        <f>ROUND(Y97*Source!I39,9)</f>
        <v>0.26519999999999999</v>
      </c>
      <c r="CX97">
        <f>ROUND(Y97*Source!I39,9)</f>
        <v>0.26519999999999999</v>
      </c>
      <c r="CY97">
        <f t="shared" si="55"/>
        <v>1771.59</v>
      </c>
      <c r="CZ97">
        <f t="shared" si="56"/>
        <v>108.62</v>
      </c>
      <c r="DA97">
        <f t="shared" si="57"/>
        <v>16.309999999999999</v>
      </c>
      <c r="DB97">
        <f t="shared" si="53"/>
        <v>36.93</v>
      </c>
      <c r="DC97">
        <f t="shared" si="54"/>
        <v>3.52</v>
      </c>
      <c r="DD97" t="s">
        <v>3</v>
      </c>
      <c r="DE97" t="s">
        <v>3</v>
      </c>
      <c r="DF97">
        <f t="shared" si="51"/>
        <v>0</v>
      </c>
      <c r="DG97">
        <f t="shared" si="58"/>
        <v>469.83</v>
      </c>
      <c r="DH97">
        <f t="shared" si="59"/>
        <v>89.23</v>
      </c>
      <c r="DI97">
        <f t="shared" ref="DI97:DI118" si="61">ROUND(ROUND(AH97,2)*CX97,2)</f>
        <v>0</v>
      </c>
      <c r="DJ97">
        <f t="shared" si="60"/>
        <v>469.83</v>
      </c>
      <c r="DK97">
        <v>0</v>
      </c>
      <c r="DL97" t="s">
        <v>3</v>
      </c>
      <c r="DM97">
        <v>0</v>
      </c>
      <c r="DN97" t="s">
        <v>3</v>
      </c>
      <c r="DO97">
        <v>0</v>
      </c>
    </row>
    <row r="98" spans="1:119" x14ac:dyDescent="0.2">
      <c r="A98">
        <f>ROW(Source!A39)</f>
        <v>39</v>
      </c>
      <c r="B98">
        <v>40777027</v>
      </c>
      <c r="C98">
        <v>40777344</v>
      </c>
      <c r="D98">
        <v>38685729</v>
      </c>
      <c r="E98">
        <v>1</v>
      </c>
      <c r="F98">
        <v>1</v>
      </c>
      <c r="G98">
        <v>1</v>
      </c>
      <c r="H98">
        <v>2</v>
      </c>
      <c r="I98" t="s">
        <v>451</v>
      </c>
      <c r="J98" t="s">
        <v>452</v>
      </c>
      <c r="K98" t="s">
        <v>453</v>
      </c>
      <c r="L98">
        <v>1368</v>
      </c>
      <c r="N98">
        <v>1011</v>
      </c>
      <c r="O98" t="s">
        <v>325</v>
      </c>
      <c r="P98" t="s">
        <v>325</v>
      </c>
      <c r="Q98">
        <v>1</v>
      </c>
      <c r="W98">
        <v>0</v>
      </c>
      <c r="X98">
        <v>1797372022</v>
      </c>
      <c r="Y98">
        <f t="shared" si="52"/>
        <v>2.4</v>
      </c>
      <c r="AA98">
        <v>0</v>
      </c>
      <c r="AB98">
        <v>1532.36</v>
      </c>
      <c r="AC98">
        <v>336.48</v>
      </c>
      <c r="AD98">
        <v>0</v>
      </c>
      <c r="AE98">
        <v>0</v>
      </c>
      <c r="AF98">
        <v>119.25</v>
      </c>
      <c r="AG98">
        <v>10.35</v>
      </c>
      <c r="AH98">
        <v>0</v>
      </c>
      <c r="AI98">
        <v>1</v>
      </c>
      <c r="AJ98">
        <v>12.85</v>
      </c>
      <c r="AK98">
        <v>32.51</v>
      </c>
      <c r="AL98">
        <v>1</v>
      </c>
      <c r="AM98">
        <v>2</v>
      </c>
      <c r="AN98">
        <v>0</v>
      </c>
      <c r="AO98">
        <v>1</v>
      </c>
      <c r="AP98">
        <v>1</v>
      </c>
      <c r="AQ98">
        <v>0</v>
      </c>
      <c r="AR98">
        <v>0</v>
      </c>
      <c r="AS98" t="s">
        <v>3</v>
      </c>
      <c r="AT98">
        <v>2.4</v>
      </c>
      <c r="AU98" t="s">
        <v>3</v>
      </c>
      <c r="AV98">
        <v>0</v>
      </c>
      <c r="AW98">
        <v>2</v>
      </c>
      <c r="AX98">
        <v>40777369</v>
      </c>
      <c r="AY98">
        <v>1</v>
      </c>
      <c r="AZ98">
        <v>0</v>
      </c>
      <c r="BA98">
        <v>98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  <c r="BU98">
        <v>0</v>
      </c>
      <c r="BV98">
        <v>0</v>
      </c>
      <c r="BW98">
        <v>0</v>
      </c>
      <c r="CV98">
        <v>0</v>
      </c>
      <c r="CW98">
        <f>ROUND(Y98*Source!I39,9)</f>
        <v>1.8720000000000001</v>
      </c>
      <c r="CX98">
        <f>ROUND(Y98*Source!I39,9)</f>
        <v>1.8720000000000001</v>
      </c>
      <c r="CY98">
        <f t="shared" si="55"/>
        <v>1532.36</v>
      </c>
      <c r="CZ98">
        <f t="shared" si="56"/>
        <v>119.25</v>
      </c>
      <c r="DA98">
        <f t="shared" si="57"/>
        <v>12.85</v>
      </c>
      <c r="DB98">
        <f t="shared" si="53"/>
        <v>286.2</v>
      </c>
      <c r="DC98">
        <f t="shared" si="54"/>
        <v>24.84</v>
      </c>
      <c r="DD98" t="s">
        <v>3</v>
      </c>
      <c r="DE98" t="s">
        <v>3</v>
      </c>
      <c r="DF98">
        <f t="shared" si="51"/>
        <v>0</v>
      </c>
      <c r="DG98">
        <f t="shared" si="58"/>
        <v>2868.58</v>
      </c>
      <c r="DH98">
        <f t="shared" si="59"/>
        <v>629.89</v>
      </c>
      <c r="DI98">
        <f t="shared" si="61"/>
        <v>0</v>
      </c>
      <c r="DJ98">
        <f t="shared" si="60"/>
        <v>2868.58</v>
      </c>
      <c r="DK98">
        <v>0</v>
      </c>
      <c r="DL98" t="s">
        <v>3</v>
      </c>
      <c r="DM98">
        <v>0</v>
      </c>
      <c r="DN98" t="s">
        <v>3</v>
      </c>
      <c r="DO98">
        <v>0</v>
      </c>
    </row>
    <row r="99" spans="1:119" x14ac:dyDescent="0.2">
      <c r="A99">
        <f>ROW(Source!A39)</f>
        <v>39</v>
      </c>
      <c r="B99">
        <v>40777027</v>
      </c>
      <c r="C99">
        <v>40777344</v>
      </c>
      <c r="D99">
        <v>38686400</v>
      </c>
      <c r="E99">
        <v>1</v>
      </c>
      <c r="F99">
        <v>1</v>
      </c>
      <c r="G99">
        <v>1</v>
      </c>
      <c r="H99">
        <v>2</v>
      </c>
      <c r="I99" t="s">
        <v>454</v>
      </c>
      <c r="J99" t="s">
        <v>455</v>
      </c>
      <c r="K99" t="s">
        <v>456</v>
      </c>
      <c r="L99">
        <v>1368</v>
      </c>
      <c r="N99">
        <v>1011</v>
      </c>
      <c r="O99" t="s">
        <v>325</v>
      </c>
      <c r="P99" t="s">
        <v>325</v>
      </c>
      <c r="Q99">
        <v>1</v>
      </c>
      <c r="W99">
        <v>0</v>
      </c>
      <c r="X99">
        <v>-1423443844</v>
      </c>
      <c r="Y99">
        <f t="shared" si="52"/>
        <v>30</v>
      </c>
      <c r="AA99">
        <v>0</v>
      </c>
      <c r="AB99">
        <v>7631.14</v>
      </c>
      <c r="AC99">
        <v>447.99</v>
      </c>
      <c r="AD99">
        <v>0</v>
      </c>
      <c r="AE99">
        <v>0</v>
      </c>
      <c r="AF99">
        <v>1343.51</v>
      </c>
      <c r="AG99">
        <v>13.78</v>
      </c>
      <c r="AH99">
        <v>0</v>
      </c>
      <c r="AI99">
        <v>1</v>
      </c>
      <c r="AJ99">
        <v>5.68</v>
      </c>
      <c r="AK99">
        <v>32.51</v>
      </c>
      <c r="AL99">
        <v>1</v>
      </c>
      <c r="AM99">
        <v>2</v>
      </c>
      <c r="AN99">
        <v>0</v>
      </c>
      <c r="AO99">
        <v>1</v>
      </c>
      <c r="AP99">
        <v>1</v>
      </c>
      <c r="AQ99">
        <v>0</v>
      </c>
      <c r="AR99">
        <v>0</v>
      </c>
      <c r="AS99" t="s">
        <v>3</v>
      </c>
      <c r="AT99">
        <v>30</v>
      </c>
      <c r="AU99" t="s">
        <v>3</v>
      </c>
      <c r="AV99">
        <v>0</v>
      </c>
      <c r="AW99">
        <v>2</v>
      </c>
      <c r="AX99">
        <v>40777370</v>
      </c>
      <c r="AY99">
        <v>1</v>
      </c>
      <c r="AZ99">
        <v>0</v>
      </c>
      <c r="BA99">
        <v>99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  <c r="BU99">
        <v>0</v>
      </c>
      <c r="BV99">
        <v>0</v>
      </c>
      <c r="BW99">
        <v>0</v>
      </c>
      <c r="CV99">
        <v>0</v>
      </c>
      <c r="CW99">
        <f>ROUND(Y99*Source!I39,9)</f>
        <v>23.4</v>
      </c>
      <c r="CX99">
        <f>ROUND(Y99*Source!I39,9)</f>
        <v>23.4</v>
      </c>
      <c r="CY99">
        <f t="shared" si="55"/>
        <v>7631.14</v>
      </c>
      <c r="CZ99">
        <f t="shared" si="56"/>
        <v>1343.51</v>
      </c>
      <c r="DA99">
        <f t="shared" si="57"/>
        <v>5.68</v>
      </c>
      <c r="DB99">
        <f t="shared" si="53"/>
        <v>40305.300000000003</v>
      </c>
      <c r="DC99">
        <f t="shared" si="54"/>
        <v>413.4</v>
      </c>
      <c r="DD99" t="s">
        <v>3</v>
      </c>
      <c r="DE99" t="s">
        <v>3</v>
      </c>
      <c r="DF99">
        <f t="shared" si="51"/>
        <v>0</v>
      </c>
      <c r="DG99">
        <f t="shared" si="58"/>
        <v>178568.68</v>
      </c>
      <c r="DH99">
        <f t="shared" si="59"/>
        <v>10482.969999999999</v>
      </c>
      <c r="DI99">
        <f t="shared" si="61"/>
        <v>0</v>
      </c>
      <c r="DJ99">
        <f t="shared" si="60"/>
        <v>178568.68</v>
      </c>
      <c r="DK99">
        <v>0</v>
      </c>
      <c r="DL99" t="s">
        <v>3</v>
      </c>
      <c r="DM99">
        <v>0</v>
      </c>
      <c r="DN99" t="s">
        <v>3</v>
      </c>
      <c r="DO99">
        <v>0</v>
      </c>
    </row>
    <row r="100" spans="1:119" x14ac:dyDescent="0.2">
      <c r="A100">
        <f>ROW(Source!A39)</f>
        <v>39</v>
      </c>
      <c r="B100">
        <v>40777027</v>
      </c>
      <c r="C100">
        <v>40777344</v>
      </c>
      <c r="D100">
        <v>38686933</v>
      </c>
      <c r="E100">
        <v>1</v>
      </c>
      <c r="F100">
        <v>1</v>
      </c>
      <c r="G100">
        <v>1</v>
      </c>
      <c r="H100">
        <v>2</v>
      </c>
      <c r="I100" t="s">
        <v>457</v>
      </c>
      <c r="J100" t="s">
        <v>458</v>
      </c>
      <c r="K100" t="s">
        <v>459</v>
      </c>
      <c r="L100">
        <v>1368</v>
      </c>
      <c r="N100">
        <v>1011</v>
      </c>
      <c r="O100" t="s">
        <v>325</v>
      </c>
      <c r="P100" t="s">
        <v>325</v>
      </c>
      <c r="Q100">
        <v>1</v>
      </c>
      <c r="W100">
        <v>0</v>
      </c>
      <c r="X100">
        <v>1337510657</v>
      </c>
      <c r="Y100">
        <f t="shared" si="52"/>
        <v>0.34</v>
      </c>
      <c r="AA100">
        <v>0</v>
      </c>
      <c r="AB100">
        <v>1297.21</v>
      </c>
      <c r="AC100">
        <v>336.48</v>
      </c>
      <c r="AD100">
        <v>0</v>
      </c>
      <c r="AE100">
        <v>0</v>
      </c>
      <c r="AF100">
        <v>92.46</v>
      </c>
      <c r="AG100">
        <v>10.35</v>
      </c>
      <c r="AH100">
        <v>0</v>
      </c>
      <c r="AI100">
        <v>1</v>
      </c>
      <c r="AJ100">
        <v>14.03</v>
      </c>
      <c r="AK100">
        <v>32.51</v>
      </c>
      <c r="AL100">
        <v>1</v>
      </c>
      <c r="AM100">
        <v>2</v>
      </c>
      <c r="AN100">
        <v>0</v>
      </c>
      <c r="AO100">
        <v>1</v>
      </c>
      <c r="AP100">
        <v>1</v>
      </c>
      <c r="AQ100">
        <v>0</v>
      </c>
      <c r="AR100">
        <v>0</v>
      </c>
      <c r="AS100" t="s">
        <v>3</v>
      </c>
      <c r="AT100">
        <v>0.34</v>
      </c>
      <c r="AU100" t="s">
        <v>3</v>
      </c>
      <c r="AV100">
        <v>0</v>
      </c>
      <c r="AW100">
        <v>2</v>
      </c>
      <c r="AX100">
        <v>40777371</v>
      </c>
      <c r="AY100">
        <v>1</v>
      </c>
      <c r="AZ100">
        <v>0</v>
      </c>
      <c r="BA100">
        <v>100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  <c r="BU100">
        <v>0</v>
      </c>
      <c r="BV100">
        <v>0</v>
      </c>
      <c r="BW100">
        <v>0</v>
      </c>
      <c r="CV100">
        <v>0</v>
      </c>
      <c r="CW100">
        <f>ROUND(Y100*Source!I39,9)</f>
        <v>0.26519999999999999</v>
      </c>
      <c r="CX100">
        <f>ROUND(Y100*Source!I39,9)</f>
        <v>0.26519999999999999</v>
      </c>
      <c r="CY100">
        <f t="shared" si="55"/>
        <v>1297.21</v>
      </c>
      <c r="CZ100">
        <f t="shared" si="56"/>
        <v>92.46</v>
      </c>
      <c r="DA100">
        <f t="shared" si="57"/>
        <v>14.03</v>
      </c>
      <c r="DB100">
        <f t="shared" si="53"/>
        <v>31.44</v>
      </c>
      <c r="DC100">
        <f t="shared" si="54"/>
        <v>3.52</v>
      </c>
      <c r="DD100" t="s">
        <v>3</v>
      </c>
      <c r="DE100" t="s">
        <v>3</v>
      </c>
      <c r="DF100">
        <f t="shared" si="51"/>
        <v>0</v>
      </c>
      <c r="DG100">
        <f t="shared" si="58"/>
        <v>344.02</v>
      </c>
      <c r="DH100">
        <f t="shared" si="59"/>
        <v>89.23</v>
      </c>
      <c r="DI100">
        <f t="shared" si="61"/>
        <v>0</v>
      </c>
      <c r="DJ100">
        <f t="shared" si="60"/>
        <v>344.02</v>
      </c>
      <c r="DK100">
        <v>0</v>
      </c>
      <c r="DL100" t="s">
        <v>3</v>
      </c>
      <c r="DM100">
        <v>0</v>
      </c>
      <c r="DN100" t="s">
        <v>3</v>
      </c>
      <c r="DO100">
        <v>0</v>
      </c>
    </row>
    <row r="101" spans="1:119" x14ac:dyDescent="0.2">
      <c r="A101">
        <f>ROW(Source!A39)</f>
        <v>39</v>
      </c>
      <c r="B101">
        <v>40777027</v>
      </c>
      <c r="C101">
        <v>40777344</v>
      </c>
      <c r="D101">
        <v>38620846</v>
      </c>
      <c r="E101">
        <v>1</v>
      </c>
      <c r="F101">
        <v>1</v>
      </c>
      <c r="G101">
        <v>1</v>
      </c>
      <c r="H101">
        <v>3</v>
      </c>
      <c r="I101" t="s">
        <v>460</v>
      </c>
      <c r="J101" t="s">
        <v>461</v>
      </c>
      <c r="K101" t="s">
        <v>462</v>
      </c>
      <c r="L101">
        <v>1339</v>
      </c>
      <c r="N101">
        <v>1007</v>
      </c>
      <c r="O101" t="s">
        <v>339</v>
      </c>
      <c r="P101" t="s">
        <v>339</v>
      </c>
      <c r="Q101">
        <v>1</v>
      </c>
      <c r="W101">
        <v>0</v>
      </c>
      <c r="X101">
        <v>-821751618</v>
      </c>
      <c r="Y101">
        <f t="shared" ref="Y101:Y107" si="62">(AT101*0)</f>
        <v>0</v>
      </c>
      <c r="AA101">
        <v>118.37</v>
      </c>
      <c r="AB101">
        <v>0</v>
      </c>
      <c r="AC101">
        <v>0</v>
      </c>
      <c r="AD101">
        <v>0</v>
      </c>
      <c r="AE101">
        <v>6.22</v>
      </c>
      <c r="AF101">
        <v>0</v>
      </c>
      <c r="AG101">
        <v>0</v>
      </c>
      <c r="AH101">
        <v>0</v>
      </c>
      <c r="AI101">
        <v>19.03</v>
      </c>
      <c r="AJ101">
        <v>1</v>
      </c>
      <c r="AK101">
        <v>1</v>
      </c>
      <c r="AL101">
        <v>1</v>
      </c>
      <c r="AM101">
        <v>2</v>
      </c>
      <c r="AN101">
        <v>0</v>
      </c>
      <c r="AO101">
        <v>1</v>
      </c>
      <c r="AP101">
        <v>1</v>
      </c>
      <c r="AQ101">
        <v>0</v>
      </c>
      <c r="AR101">
        <v>0</v>
      </c>
      <c r="AS101" t="s">
        <v>3</v>
      </c>
      <c r="AT101">
        <v>5.62</v>
      </c>
      <c r="AU101" t="s">
        <v>19</v>
      </c>
      <c r="AV101">
        <v>0</v>
      </c>
      <c r="AW101">
        <v>2</v>
      </c>
      <c r="AX101">
        <v>40777372</v>
      </c>
      <c r="AY101">
        <v>1</v>
      </c>
      <c r="AZ101">
        <v>0</v>
      </c>
      <c r="BA101">
        <v>101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  <c r="BU101">
        <v>0</v>
      </c>
      <c r="BV101">
        <v>0</v>
      </c>
      <c r="BW101">
        <v>0</v>
      </c>
      <c r="CV101">
        <v>0</v>
      </c>
      <c r="CW101">
        <v>0</v>
      </c>
      <c r="CX101">
        <f>ROUND(Y101*Source!I39,9)</f>
        <v>0</v>
      </c>
      <c r="CY101">
        <f t="shared" ref="CY101:CY107" si="63">AA101</f>
        <v>118.37</v>
      </c>
      <c r="CZ101">
        <f t="shared" ref="CZ101:CZ107" si="64">AE101</f>
        <v>6.22</v>
      </c>
      <c r="DA101">
        <f t="shared" ref="DA101:DA107" si="65">AI101</f>
        <v>19.03</v>
      </c>
      <c r="DB101">
        <f t="shared" ref="DB101:DB107" si="66">ROUND((ROUND(AT101*CZ101,2)*0),2)</f>
        <v>0</v>
      </c>
      <c r="DC101">
        <f t="shared" ref="DC101:DC107" si="67">ROUND((ROUND(AT101*AG101,2)*0),2)</f>
        <v>0</v>
      </c>
      <c r="DD101" t="s">
        <v>3</v>
      </c>
      <c r="DE101" t="s">
        <v>3</v>
      </c>
      <c r="DF101">
        <f>ROUND(ROUND(AE101*AI101,2)*CX101,2)</f>
        <v>0</v>
      </c>
      <c r="DG101">
        <f t="shared" ref="DG101:DG109" si="68">ROUND(ROUND(AF101,2)*CX101,2)</f>
        <v>0</v>
      </c>
      <c r="DH101">
        <f t="shared" ref="DH101:DH109" si="69">ROUND(ROUND(AG101,2)*CX101,2)</f>
        <v>0</v>
      </c>
      <c r="DI101">
        <f t="shared" si="61"/>
        <v>0</v>
      </c>
      <c r="DJ101">
        <f t="shared" ref="DJ101:DJ107" si="70">DF101</f>
        <v>0</v>
      </c>
      <c r="DK101">
        <v>0</v>
      </c>
      <c r="DL101" t="s">
        <v>3</v>
      </c>
      <c r="DM101">
        <v>0</v>
      </c>
      <c r="DN101" t="s">
        <v>3</v>
      </c>
      <c r="DO101">
        <v>0</v>
      </c>
    </row>
    <row r="102" spans="1:119" x14ac:dyDescent="0.2">
      <c r="A102">
        <f>ROW(Source!A39)</f>
        <v>39</v>
      </c>
      <c r="B102">
        <v>40777027</v>
      </c>
      <c r="C102">
        <v>40777344</v>
      </c>
      <c r="D102">
        <v>38627134</v>
      </c>
      <c r="E102">
        <v>1</v>
      </c>
      <c r="F102">
        <v>1</v>
      </c>
      <c r="G102">
        <v>1</v>
      </c>
      <c r="H102">
        <v>3</v>
      </c>
      <c r="I102" t="s">
        <v>463</v>
      </c>
      <c r="J102" t="s">
        <v>464</v>
      </c>
      <c r="K102" t="s">
        <v>465</v>
      </c>
      <c r="L102">
        <v>1348</v>
      </c>
      <c r="N102">
        <v>1009</v>
      </c>
      <c r="O102" t="s">
        <v>119</v>
      </c>
      <c r="P102" t="s">
        <v>119</v>
      </c>
      <c r="Q102">
        <v>1000</v>
      </c>
      <c r="W102">
        <v>0</v>
      </c>
      <c r="X102">
        <v>-1976534942</v>
      </c>
      <c r="Y102">
        <f t="shared" si="62"/>
        <v>0</v>
      </c>
      <c r="AA102">
        <v>132805.74</v>
      </c>
      <c r="AB102">
        <v>0</v>
      </c>
      <c r="AC102">
        <v>0</v>
      </c>
      <c r="AD102">
        <v>0</v>
      </c>
      <c r="AE102">
        <v>10806</v>
      </c>
      <c r="AF102">
        <v>0</v>
      </c>
      <c r="AG102">
        <v>0</v>
      </c>
      <c r="AH102">
        <v>0</v>
      </c>
      <c r="AI102">
        <v>12.29</v>
      </c>
      <c r="AJ102">
        <v>1</v>
      </c>
      <c r="AK102">
        <v>1</v>
      </c>
      <c r="AL102">
        <v>1</v>
      </c>
      <c r="AM102">
        <v>2</v>
      </c>
      <c r="AN102">
        <v>0</v>
      </c>
      <c r="AO102">
        <v>1</v>
      </c>
      <c r="AP102">
        <v>1</v>
      </c>
      <c r="AQ102">
        <v>0</v>
      </c>
      <c r="AR102">
        <v>0</v>
      </c>
      <c r="AS102" t="s">
        <v>3</v>
      </c>
      <c r="AT102">
        <v>3.6799999999999999E-2</v>
      </c>
      <c r="AU102" t="s">
        <v>19</v>
      </c>
      <c r="AV102">
        <v>0</v>
      </c>
      <c r="AW102">
        <v>2</v>
      </c>
      <c r="AX102">
        <v>40777373</v>
      </c>
      <c r="AY102">
        <v>1</v>
      </c>
      <c r="AZ102">
        <v>0</v>
      </c>
      <c r="BA102">
        <v>102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  <c r="BU102">
        <v>0</v>
      </c>
      <c r="BV102">
        <v>0</v>
      </c>
      <c r="BW102">
        <v>0</v>
      </c>
      <c r="CV102">
        <v>0</v>
      </c>
      <c r="CW102">
        <v>0</v>
      </c>
      <c r="CX102">
        <f>ROUND(Y102*Source!I39,9)</f>
        <v>0</v>
      </c>
      <c r="CY102">
        <f t="shared" si="63"/>
        <v>132805.74</v>
      </c>
      <c r="CZ102">
        <f t="shared" si="64"/>
        <v>10806</v>
      </c>
      <c r="DA102">
        <f t="shared" si="65"/>
        <v>12.29</v>
      </c>
      <c r="DB102">
        <f t="shared" si="66"/>
        <v>0</v>
      </c>
      <c r="DC102">
        <f t="shared" si="67"/>
        <v>0</v>
      </c>
      <c r="DD102" t="s">
        <v>3</v>
      </c>
      <c r="DE102" t="s">
        <v>3</v>
      </c>
      <c r="DF102">
        <f>ROUND(ROUND(AE102*AI102,2)*CX102,2)</f>
        <v>0</v>
      </c>
      <c r="DG102">
        <f t="shared" si="68"/>
        <v>0</v>
      </c>
      <c r="DH102">
        <f t="shared" si="69"/>
        <v>0</v>
      </c>
      <c r="DI102">
        <f t="shared" si="61"/>
        <v>0</v>
      </c>
      <c r="DJ102">
        <f t="shared" si="70"/>
        <v>0</v>
      </c>
      <c r="DK102">
        <v>0</v>
      </c>
      <c r="DL102" t="s">
        <v>3</v>
      </c>
      <c r="DM102">
        <v>0</v>
      </c>
      <c r="DN102" t="s">
        <v>3</v>
      </c>
      <c r="DO102">
        <v>0</v>
      </c>
    </row>
    <row r="103" spans="1:119" x14ac:dyDescent="0.2">
      <c r="A103">
        <f>ROW(Source!A39)</f>
        <v>39</v>
      </c>
      <c r="B103">
        <v>40777027</v>
      </c>
      <c r="C103">
        <v>40777344</v>
      </c>
      <c r="D103">
        <v>38620835</v>
      </c>
      <c r="E103">
        <v>1</v>
      </c>
      <c r="F103">
        <v>1</v>
      </c>
      <c r="G103">
        <v>1</v>
      </c>
      <c r="H103">
        <v>3</v>
      </c>
      <c r="I103" t="s">
        <v>466</v>
      </c>
      <c r="J103" t="s">
        <v>467</v>
      </c>
      <c r="K103" t="s">
        <v>468</v>
      </c>
      <c r="L103">
        <v>1339</v>
      </c>
      <c r="N103">
        <v>1007</v>
      </c>
      <c r="O103" t="s">
        <v>339</v>
      </c>
      <c r="P103" t="s">
        <v>339</v>
      </c>
      <c r="Q103">
        <v>1</v>
      </c>
      <c r="W103">
        <v>0</v>
      </c>
      <c r="X103">
        <v>425694071</v>
      </c>
      <c r="Y103">
        <f t="shared" si="62"/>
        <v>0</v>
      </c>
      <c r="AA103">
        <v>597.29</v>
      </c>
      <c r="AB103">
        <v>0</v>
      </c>
      <c r="AC103">
        <v>0</v>
      </c>
      <c r="AD103">
        <v>0</v>
      </c>
      <c r="AE103">
        <v>38.51</v>
      </c>
      <c r="AF103">
        <v>0</v>
      </c>
      <c r="AG103">
        <v>0</v>
      </c>
      <c r="AH103">
        <v>0</v>
      </c>
      <c r="AI103">
        <v>15.51</v>
      </c>
      <c r="AJ103">
        <v>1</v>
      </c>
      <c r="AK103">
        <v>1</v>
      </c>
      <c r="AL103">
        <v>1</v>
      </c>
      <c r="AM103">
        <v>2</v>
      </c>
      <c r="AN103">
        <v>0</v>
      </c>
      <c r="AO103">
        <v>1</v>
      </c>
      <c r="AP103">
        <v>1</v>
      </c>
      <c r="AQ103">
        <v>0</v>
      </c>
      <c r="AR103">
        <v>0</v>
      </c>
      <c r="AS103" t="s">
        <v>3</v>
      </c>
      <c r="AT103">
        <v>1.88</v>
      </c>
      <c r="AU103" t="s">
        <v>19</v>
      </c>
      <c r="AV103">
        <v>0</v>
      </c>
      <c r="AW103">
        <v>2</v>
      </c>
      <c r="AX103">
        <v>40777374</v>
      </c>
      <c r="AY103">
        <v>1</v>
      </c>
      <c r="AZ103">
        <v>0</v>
      </c>
      <c r="BA103">
        <v>103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  <c r="BU103">
        <v>0</v>
      </c>
      <c r="BV103">
        <v>0</v>
      </c>
      <c r="BW103">
        <v>0</v>
      </c>
      <c r="CV103">
        <v>0</v>
      </c>
      <c r="CW103">
        <v>0</v>
      </c>
      <c r="CX103">
        <f>ROUND(Y103*Source!I39,9)</f>
        <v>0</v>
      </c>
      <c r="CY103">
        <f t="shared" si="63"/>
        <v>597.29</v>
      </c>
      <c r="CZ103">
        <f t="shared" si="64"/>
        <v>38.51</v>
      </c>
      <c r="DA103">
        <f t="shared" si="65"/>
        <v>15.51</v>
      </c>
      <c r="DB103">
        <f t="shared" si="66"/>
        <v>0</v>
      </c>
      <c r="DC103">
        <f t="shared" si="67"/>
        <v>0</v>
      </c>
      <c r="DD103" t="s">
        <v>3</v>
      </c>
      <c r="DE103" t="s">
        <v>3</v>
      </c>
      <c r="DF103">
        <f>ROUND(ROUND(AE103*AI103,2)*CX103,2)</f>
        <v>0</v>
      </c>
      <c r="DG103">
        <f t="shared" si="68"/>
        <v>0</v>
      </c>
      <c r="DH103">
        <f t="shared" si="69"/>
        <v>0</v>
      </c>
      <c r="DI103">
        <f t="shared" si="61"/>
        <v>0</v>
      </c>
      <c r="DJ103">
        <f t="shared" si="70"/>
        <v>0</v>
      </c>
      <c r="DK103">
        <v>0</v>
      </c>
      <c r="DL103" t="s">
        <v>3</v>
      </c>
      <c r="DM103">
        <v>0</v>
      </c>
      <c r="DN103" t="s">
        <v>3</v>
      </c>
      <c r="DO103">
        <v>0</v>
      </c>
    </row>
    <row r="104" spans="1:119" x14ac:dyDescent="0.2">
      <c r="A104">
        <f>ROW(Source!A39)</f>
        <v>39</v>
      </c>
      <c r="B104">
        <v>40777027</v>
      </c>
      <c r="C104">
        <v>40777344</v>
      </c>
      <c r="D104">
        <v>38629729</v>
      </c>
      <c r="E104">
        <v>1</v>
      </c>
      <c r="F104">
        <v>1</v>
      </c>
      <c r="G104">
        <v>1</v>
      </c>
      <c r="H104">
        <v>3</v>
      </c>
      <c r="I104" t="s">
        <v>112</v>
      </c>
      <c r="J104" t="s">
        <v>115</v>
      </c>
      <c r="K104" t="s">
        <v>113</v>
      </c>
      <c r="L104">
        <v>1301</v>
      </c>
      <c r="N104">
        <v>1003</v>
      </c>
      <c r="O104" t="s">
        <v>114</v>
      </c>
      <c r="P104" t="s">
        <v>114</v>
      </c>
      <c r="Q104">
        <v>1</v>
      </c>
      <c r="W104">
        <v>0</v>
      </c>
      <c r="X104">
        <v>-1977162428</v>
      </c>
      <c r="Y104">
        <f t="shared" si="62"/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1</v>
      </c>
      <c r="AJ104">
        <v>1</v>
      </c>
      <c r="AK104">
        <v>1</v>
      </c>
      <c r="AL104">
        <v>1</v>
      </c>
      <c r="AM104">
        <v>0</v>
      </c>
      <c r="AN104">
        <v>1</v>
      </c>
      <c r="AO104">
        <v>0</v>
      </c>
      <c r="AP104">
        <v>1</v>
      </c>
      <c r="AQ104">
        <v>0</v>
      </c>
      <c r="AR104">
        <v>0</v>
      </c>
      <c r="AS104" t="s">
        <v>3</v>
      </c>
      <c r="AT104">
        <v>0</v>
      </c>
      <c r="AU104" t="s">
        <v>19</v>
      </c>
      <c r="AV104">
        <v>0</v>
      </c>
      <c r="AW104">
        <v>2</v>
      </c>
      <c r="AX104">
        <v>40777375</v>
      </c>
      <c r="AY104">
        <v>1</v>
      </c>
      <c r="AZ104">
        <v>0</v>
      </c>
      <c r="BA104">
        <v>104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  <c r="BU104">
        <v>0</v>
      </c>
      <c r="BV104">
        <v>0</v>
      </c>
      <c r="BW104">
        <v>0</v>
      </c>
      <c r="CV104">
        <v>0</v>
      </c>
      <c r="CW104">
        <v>0</v>
      </c>
      <c r="CX104">
        <f>ROUND(Y104*Source!I39,9)</f>
        <v>0</v>
      </c>
      <c r="CY104">
        <f t="shared" si="63"/>
        <v>0</v>
      </c>
      <c r="CZ104">
        <f t="shared" si="64"/>
        <v>0</v>
      </c>
      <c r="DA104">
        <f t="shared" si="65"/>
        <v>1</v>
      </c>
      <c r="DB104">
        <f t="shared" si="66"/>
        <v>0</v>
      </c>
      <c r="DC104">
        <f t="shared" si="67"/>
        <v>0</v>
      </c>
      <c r="DD104" t="s">
        <v>3</v>
      </c>
      <c r="DE104" t="s">
        <v>3</v>
      </c>
      <c r="DF104">
        <f>ROUND(ROUND(AE104,2)*CX104,2)</f>
        <v>0</v>
      </c>
      <c r="DG104">
        <f t="shared" si="68"/>
        <v>0</v>
      </c>
      <c r="DH104">
        <f t="shared" si="69"/>
        <v>0</v>
      </c>
      <c r="DI104">
        <f t="shared" si="61"/>
        <v>0</v>
      </c>
      <c r="DJ104">
        <f t="shared" si="70"/>
        <v>0</v>
      </c>
      <c r="DK104">
        <v>0</v>
      </c>
      <c r="DL104" t="s">
        <v>3</v>
      </c>
      <c r="DM104">
        <v>0</v>
      </c>
      <c r="DN104" t="s">
        <v>3</v>
      </c>
      <c r="DO104">
        <v>0</v>
      </c>
    </row>
    <row r="105" spans="1:119" x14ac:dyDescent="0.2">
      <c r="A105">
        <f>ROW(Source!A39)</f>
        <v>39</v>
      </c>
      <c r="B105">
        <v>40777027</v>
      </c>
      <c r="C105">
        <v>40777344</v>
      </c>
      <c r="D105">
        <v>38634137</v>
      </c>
      <c r="E105">
        <v>1</v>
      </c>
      <c r="F105">
        <v>1</v>
      </c>
      <c r="G105">
        <v>1</v>
      </c>
      <c r="H105">
        <v>3</v>
      </c>
      <c r="I105" t="s">
        <v>117</v>
      </c>
      <c r="J105" t="s">
        <v>120</v>
      </c>
      <c r="K105" t="s">
        <v>118</v>
      </c>
      <c r="L105">
        <v>1348</v>
      </c>
      <c r="N105">
        <v>1009</v>
      </c>
      <c r="O105" t="s">
        <v>119</v>
      </c>
      <c r="P105" t="s">
        <v>119</v>
      </c>
      <c r="Q105">
        <v>1000</v>
      </c>
      <c r="W105">
        <v>0</v>
      </c>
      <c r="X105">
        <v>1426474153</v>
      </c>
      <c r="Y105">
        <f t="shared" si="62"/>
        <v>0</v>
      </c>
      <c r="AA105">
        <v>942807.68</v>
      </c>
      <c r="AB105">
        <v>0</v>
      </c>
      <c r="AC105">
        <v>0</v>
      </c>
      <c r="AD105">
        <v>0</v>
      </c>
      <c r="AE105">
        <v>65427.32</v>
      </c>
      <c r="AF105">
        <v>0</v>
      </c>
      <c r="AG105">
        <v>0</v>
      </c>
      <c r="AH105">
        <v>0</v>
      </c>
      <c r="AI105">
        <v>14.41</v>
      </c>
      <c r="AJ105">
        <v>1</v>
      </c>
      <c r="AK105">
        <v>1</v>
      </c>
      <c r="AL105">
        <v>1</v>
      </c>
      <c r="AM105">
        <v>0</v>
      </c>
      <c r="AN105">
        <v>1</v>
      </c>
      <c r="AO105">
        <v>0</v>
      </c>
      <c r="AP105">
        <v>1</v>
      </c>
      <c r="AQ105">
        <v>0</v>
      </c>
      <c r="AR105">
        <v>0</v>
      </c>
      <c r="AS105" t="s">
        <v>3</v>
      </c>
      <c r="AT105">
        <v>0</v>
      </c>
      <c r="AU105" t="s">
        <v>19</v>
      </c>
      <c r="AV105">
        <v>0</v>
      </c>
      <c r="AW105">
        <v>2</v>
      </c>
      <c r="AX105">
        <v>40777376</v>
      </c>
      <c r="AY105">
        <v>1</v>
      </c>
      <c r="AZ105">
        <v>0</v>
      </c>
      <c r="BA105">
        <v>105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  <c r="BU105">
        <v>0</v>
      </c>
      <c r="BV105">
        <v>0</v>
      </c>
      <c r="BW105">
        <v>0</v>
      </c>
      <c r="CV105">
        <v>0</v>
      </c>
      <c r="CW105">
        <v>0</v>
      </c>
      <c r="CX105">
        <f>ROUND(Y105*Source!I39,9)</f>
        <v>0</v>
      </c>
      <c r="CY105">
        <f t="shared" si="63"/>
        <v>942807.68</v>
      </c>
      <c r="CZ105">
        <f t="shared" si="64"/>
        <v>65427.32</v>
      </c>
      <c r="DA105">
        <f t="shared" si="65"/>
        <v>14.41</v>
      </c>
      <c r="DB105">
        <f t="shared" si="66"/>
        <v>0</v>
      </c>
      <c r="DC105">
        <f t="shared" si="67"/>
        <v>0</v>
      </c>
      <c r="DD105" t="s">
        <v>3</v>
      </c>
      <c r="DE105" t="s">
        <v>3</v>
      </c>
      <c r="DF105">
        <f>ROUND(ROUND(AE105*AI105,2)*CX105,2)</f>
        <v>0</v>
      </c>
      <c r="DG105">
        <f t="shared" si="68"/>
        <v>0</v>
      </c>
      <c r="DH105">
        <f t="shared" si="69"/>
        <v>0</v>
      </c>
      <c r="DI105">
        <f t="shared" si="61"/>
        <v>0</v>
      </c>
      <c r="DJ105">
        <f t="shared" si="70"/>
        <v>0</v>
      </c>
      <c r="DK105">
        <v>0</v>
      </c>
      <c r="DL105" t="s">
        <v>3</v>
      </c>
      <c r="DM105">
        <v>0</v>
      </c>
      <c r="DN105" t="s">
        <v>3</v>
      </c>
      <c r="DO105">
        <v>0</v>
      </c>
    </row>
    <row r="106" spans="1:119" x14ac:dyDescent="0.2">
      <c r="A106">
        <f>ROW(Source!A39)</f>
        <v>39</v>
      </c>
      <c r="B106">
        <v>40777027</v>
      </c>
      <c r="C106">
        <v>40777344</v>
      </c>
      <c r="D106">
        <v>38663627</v>
      </c>
      <c r="E106">
        <v>1</v>
      </c>
      <c r="F106">
        <v>1</v>
      </c>
      <c r="G106">
        <v>1</v>
      </c>
      <c r="H106">
        <v>3</v>
      </c>
      <c r="I106" t="s">
        <v>122</v>
      </c>
      <c r="J106" t="s">
        <v>124</v>
      </c>
      <c r="K106" t="s">
        <v>123</v>
      </c>
      <c r="L106">
        <v>1348</v>
      </c>
      <c r="N106">
        <v>1009</v>
      </c>
      <c r="O106" t="s">
        <v>119</v>
      </c>
      <c r="P106" t="s">
        <v>119</v>
      </c>
      <c r="Q106">
        <v>1000</v>
      </c>
      <c r="W106">
        <v>0</v>
      </c>
      <c r="X106">
        <v>1594119397</v>
      </c>
      <c r="Y106">
        <f t="shared" si="62"/>
        <v>0</v>
      </c>
      <c r="AA106">
        <v>6406.4</v>
      </c>
      <c r="AB106">
        <v>0</v>
      </c>
      <c r="AC106">
        <v>0</v>
      </c>
      <c r="AD106">
        <v>0</v>
      </c>
      <c r="AE106">
        <v>728</v>
      </c>
      <c r="AF106">
        <v>0</v>
      </c>
      <c r="AG106">
        <v>0</v>
      </c>
      <c r="AH106">
        <v>0</v>
      </c>
      <c r="AI106">
        <v>8.8000000000000007</v>
      </c>
      <c r="AJ106">
        <v>1</v>
      </c>
      <c r="AK106">
        <v>1</v>
      </c>
      <c r="AL106">
        <v>1</v>
      </c>
      <c r="AM106">
        <v>0</v>
      </c>
      <c r="AN106">
        <v>1</v>
      </c>
      <c r="AO106">
        <v>0</v>
      </c>
      <c r="AP106">
        <v>1</v>
      </c>
      <c r="AQ106">
        <v>0</v>
      </c>
      <c r="AR106">
        <v>0</v>
      </c>
      <c r="AS106" t="s">
        <v>3</v>
      </c>
      <c r="AT106">
        <v>0</v>
      </c>
      <c r="AU106" t="s">
        <v>19</v>
      </c>
      <c r="AV106">
        <v>0</v>
      </c>
      <c r="AW106">
        <v>2</v>
      </c>
      <c r="AX106">
        <v>40777377</v>
      </c>
      <c r="AY106">
        <v>1</v>
      </c>
      <c r="AZ106">
        <v>0</v>
      </c>
      <c r="BA106">
        <v>106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  <c r="BU106">
        <v>0</v>
      </c>
      <c r="BV106">
        <v>0</v>
      </c>
      <c r="BW106">
        <v>0</v>
      </c>
      <c r="CV106">
        <v>0</v>
      </c>
      <c r="CW106">
        <v>0</v>
      </c>
      <c r="CX106">
        <f>ROUND(Y106*Source!I39,9)</f>
        <v>0</v>
      </c>
      <c r="CY106">
        <f t="shared" si="63"/>
        <v>6406.4</v>
      </c>
      <c r="CZ106">
        <f t="shared" si="64"/>
        <v>728</v>
      </c>
      <c r="DA106">
        <f t="shared" si="65"/>
        <v>8.8000000000000007</v>
      </c>
      <c r="DB106">
        <f t="shared" si="66"/>
        <v>0</v>
      </c>
      <c r="DC106">
        <f t="shared" si="67"/>
        <v>0</v>
      </c>
      <c r="DD106" t="s">
        <v>3</v>
      </c>
      <c r="DE106" t="s">
        <v>3</v>
      </c>
      <c r="DF106">
        <f>ROUND(ROUND(AE106*AI106,2)*CX106,2)</f>
        <v>0</v>
      </c>
      <c r="DG106">
        <f t="shared" si="68"/>
        <v>0</v>
      </c>
      <c r="DH106">
        <f t="shared" si="69"/>
        <v>0</v>
      </c>
      <c r="DI106">
        <f t="shared" si="61"/>
        <v>0</v>
      </c>
      <c r="DJ106">
        <f t="shared" si="70"/>
        <v>0</v>
      </c>
      <c r="DK106">
        <v>0</v>
      </c>
      <c r="DL106" t="s">
        <v>3</v>
      </c>
      <c r="DM106">
        <v>0</v>
      </c>
      <c r="DN106" t="s">
        <v>3</v>
      </c>
      <c r="DO106">
        <v>0</v>
      </c>
    </row>
    <row r="107" spans="1:119" x14ac:dyDescent="0.2">
      <c r="A107">
        <f>ROW(Source!A39)</f>
        <v>39</v>
      </c>
      <c r="B107">
        <v>40777027</v>
      </c>
      <c r="C107">
        <v>40777344</v>
      </c>
      <c r="D107">
        <v>38664221</v>
      </c>
      <c r="E107">
        <v>1</v>
      </c>
      <c r="F107">
        <v>1</v>
      </c>
      <c r="G107">
        <v>1</v>
      </c>
      <c r="H107">
        <v>3</v>
      </c>
      <c r="I107" t="s">
        <v>469</v>
      </c>
      <c r="J107" t="s">
        <v>470</v>
      </c>
      <c r="K107" t="s">
        <v>471</v>
      </c>
      <c r="L107">
        <v>1339</v>
      </c>
      <c r="N107">
        <v>1007</v>
      </c>
      <c r="O107" t="s">
        <v>339</v>
      </c>
      <c r="P107" t="s">
        <v>339</v>
      </c>
      <c r="Q107">
        <v>1</v>
      </c>
      <c r="W107">
        <v>0</v>
      </c>
      <c r="X107">
        <v>-1418712732</v>
      </c>
      <c r="Y107">
        <f t="shared" si="62"/>
        <v>0</v>
      </c>
      <c r="AA107">
        <v>54.91</v>
      </c>
      <c r="AB107">
        <v>0</v>
      </c>
      <c r="AC107">
        <v>0</v>
      </c>
      <c r="AD107">
        <v>0</v>
      </c>
      <c r="AE107">
        <v>2.4700000000000002</v>
      </c>
      <c r="AF107">
        <v>0</v>
      </c>
      <c r="AG107">
        <v>0</v>
      </c>
      <c r="AH107">
        <v>0</v>
      </c>
      <c r="AI107">
        <v>22.23</v>
      </c>
      <c r="AJ107">
        <v>1</v>
      </c>
      <c r="AK107">
        <v>1</v>
      </c>
      <c r="AL107">
        <v>1</v>
      </c>
      <c r="AM107">
        <v>2</v>
      </c>
      <c r="AN107">
        <v>0</v>
      </c>
      <c r="AO107">
        <v>1</v>
      </c>
      <c r="AP107">
        <v>1</v>
      </c>
      <c r="AQ107">
        <v>0</v>
      </c>
      <c r="AR107">
        <v>0</v>
      </c>
      <c r="AS107" t="s">
        <v>3</v>
      </c>
      <c r="AT107">
        <v>12.44</v>
      </c>
      <c r="AU107" t="s">
        <v>19</v>
      </c>
      <c r="AV107">
        <v>0</v>
      </c>
      <c r="AW107">
        <v>2</v>
      </c>
      <c r="AX107">
        <v>40777378</v>
      </c>
      <c r="AY107">
        <v>1</v>
      </c>
      <c r="AZ107">
        <v>0</v>
      </c>
      <c r="BA107">
        <v>107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0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  <c r="BU107">
        <v>0</v>
      </c>
      <c r="BV107">
        <v>0</v>
      </c>
      <c r="BW107">
        <v>0</v>
      </c>
      <c r="CV107">
        <v>0</v>
      </c>
      <c r="CW107">
        <v>0</v>
      </c>
      <c r="CX107">
        <f>ROUND(Y107*Source!I39,9)</f>
        <v>0</v>
      </c>
      <c r="CY107">
        <f t="shared" si="63"/>
        <v>54.91</v>
      </c>
      <c r="CZ107">
        <f t="shared" si="64"/>
        <v>2.4700000000000002</v>
      </c>
      <c r="DA107">
        <f t="shared" si="65"/>
        <v>22.23</v>
      </c>
      <c r="DB107">
        <f t="shared" si="66"/>
        <v>0</v>
      </c>
      <c r="DC107">
        <f t="shared" si="67"/>
        <v>0</v>
      </c>
      <c r="DD107" t="s">
        <v>3</v>
      </c>
      <c r="DE107" t="s">
        <v>3</v>
      </c>
      <c r="DF107">
        <f>ROUND(ROUND(AE107*AI107,2)*CX107,2)</f>
        <v>0</v>
      </c>
      <c r="DG107">
        <f t="shared" si="68"/>
        <v>0</v>
      </c>
      <c r="DH107">
        <f t="shared" si="69"/>
        <v>0</v>
      </c>
      <c r="DI107">
        <f t="shared" si="61"/>
        <v>0</v>
      </c>
      <c r="DJ107">
        <f t="shared" si="70"/>
        <v>0</v>
      </c>
      <c r="DK107">
        <v>0</v>
      </c>
      <c r="DL107" t="s">
        <v>3</v>
      </c>
      <c r="DM107">
        <v>0</v>
      </c>
      <c r="DN107" t="s">
        <v>3</v>
      </c>
      <c r="DO107">
        <v>0</v>
      </c>
    </row>
    <row r="108" spans="1:119" x14ac:dyDescent="0.2">
      <c r="A108">
        <f>ROW(Source!A43)</f>
        <v>43</v>
      </c>
      <c r="B108">
        <v>40777027</v>
      </c>
      <c r="C108">
        <v>40777382</v>
      </c>
      <c r="D108">
        <v>23132590</v>
      </c>
      <c r="E108">
        <v>1</v>
      </c>
      <c r="F108">
        <v>1</v>
      </c>
      <c r="G108">
        <v>1</v>
      </c>
      <c r="H108">
        <v>1</v>
      </c>
      <c r="I108" t="s">
        <v>472</v>
      </c>
      <c r="J108" t="s">
        <v>3</v>
      </c>
      <c r="K108" t="s">
        <v>473</v>
      </c>
      <c r="L108">
        <v>1369</v>
      </c>
      <c r="N108">
        <v>1013</v>
      </c>
      <c r="O108" t="s">
        <v>319</v>
      </c>
      <c r="P108" t="s">
        <v>319</v>
      </c>
      <c r="Q108">
        <v>1</v>
      </c>
      <c r="W108">
        <v>0</v>
      </c>
      <c r="X108">
        <v>1935273774</v>
      </c>
      <c r="Y108">
        <f t="shared" ref="Y108:Y118" si="71">AT108</f>
        <v>35.08</v>
      </c>
      <c r="AA108">
        <v>0</v>
      </c>
      <c r="AB108">
        <v>0</v>
      </c>
      <c r="AC108">
        <v>0</v>
      </c>
      <c r="AD108">
        <v>7.43</v>
      </c>
      <c r="AE108">
        <v>0</v>
      </c>
      <c r="AF108">
        <v>0</v>
      </c>
      <c r="AG108">
        <v>0</v>
      </c>
      <c r="AH108">
        <v>7.43</v>
      </c>
      <c r="AI108">
        <v>1</v>
      </c>
      <c r="AJ108">
        <v>1</v>
      </c>
      <c r="AK108">
        <v>1</v>
      </c>
      <c r="AL108">
        <v>1</v>
      </c>
      <c r="AM108">
        <v>-2</v>
      </c>
      <c r="AN108">
        <v>0</v>
      </c>
      <c r="AO108">
        <v>1</v>
      </c>
      <c r="AP108">
        <v>1</v>
      </c>
      <c r="AQ108">
        <v>0</v>
      </c>
      <c r="AR108">
        <v>0</v>
      </c>
      <c r="AS108" t="s">
        <v>3</v>
      </c>
      <c r="AT108">
        <v>35.08</v>
      </c>
      <c r="AU108" t="s">
        <v>3</v>
      </c>
      <c r="AV108">
        <v>1</v>
      </c>
      <c r="AW108">
        <v>2</v>
      </c>
      <c r="AX108">
        <v>40777388</v>
      </c>
      <c r="AY108">
        <v>1</v>
      </c>
      <c r="AZ108">
        <v>0</v>
      </c>
      <c r="BA108">
        <v>108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0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  <c r="BU108">
        <v>0</v>
      </c>
      <c r="BV108">
        <v>0</v>
      </c>
      <c r="BW108">
        <v>0</v>
      </c>
      <c r="CU108">
        <f>ROUND(AT108*Source!I43*AH108*AL108,2)</f>
        <v>65.16</v>
      </c>
      <c r="CV108">
        <f>ROUND(Y108*Source!I43,9)</f>
        <v>8.77</v>
      </c>
      <c r="CW108">
        <v>0</v>
      </c>
      <c r="CX108">
        <f>ROUND(Y108*Source!I43,9)</f>
        <v>8.77</v>
      </c>
      <c r="CY108">
        <f>AD108</f>
        <v>7.43</v>
      </c>
      <c r="CZ108">
        <f>AH108</f>
        <v>7.43</v>
      </c>
      <c r="DA108">
        <f>AL108</f>
        <v>1</v>
      </c>
      <c r="DB108">
        <f t="shared" ref="DB108:DB118" si="72">ROUND(ROUND(AT108*CZ108,2),2)</f>
        <v>260.64</v>
      </c>
      <c r="DC108">
        <f t="shared" ref="DC108:DC118" si="73">ROUND(ROUND(AT108*AG108,2),2)</f>
        <v>0</v>
      </c>
      <c r="DD108" t="s">
        <v>3</v>
      </c>
      <c r="DE108" t="s">
        <v>3</v>
      </c>
      <c r="DF108">
        <f>ROUND(ROUND(AE108,2)*CX108,2)</f>
        <v>0</v>
      </c>
      <c r="DG108">
        <f t="shared" si="68"/>
        <v>0</v>
      </c>
      <c r="DH108">
        <f t="shared" si="69"/>
        <v>0</v>
      </c>
      <c r="DI108">
        <f t="shared" si="61"/>
        <v>65.16</v>
      </c>
      <c r="DJ108">
        <f>DI108</f>
        <v>65.16</v>
      </c>
      <c r="DK108">
        <v>0</v>
      </c>
      <c r="DL108" t="s">
        <v>3</v>
      </c>
      <c r="DM108">
        <v>0</v>
      </c>
      <c r="DN108" t="s">
        <v>3</v>
      </c>
      <c r="DO108">
        <v>0</v>
      </c>
    </row>
    <row r="109" spans="1:119" x14ac:dyDescent="0.2">
      <c r="A109">
        <f>ROW(Source!A43)</f>
        <v>43</v>
      </c>
      <c r="B109">
        <v>40777027</v>
      </c>
      <c r="C109">
        <v>40777382</v>
      </c>
      <c r="D109">
        <v>121548</v>
      </c>
      <c r="E109">
        <v>1</v>
      </c>
      <c r="F109">
        <v>1</v>
      </c>
      <c r="G109">
        <v>1</v>
      </c>
      <c r="H109">
        <v>1</v>
      </c>
      <c r="I109" t="s">
        <v>26</v>
      </c>
      <c r="J109" t="s">
        <v>3</v>
      </c>
      <c r="K109" t="s">
        <v>320</v>
      </c>
      <c r="L109">
        <v>608254</v>
      </c>
      <c r="N109">
        <v>1013</v>
      </c>
      <c r="O109" t="s">
        <v>321</v>
      </c>
      <c r="P109" t="s">
        <v>321</v>
      </c>
      <c r="Q109">
        <v>1</v>
      </c>
      <c r="W109">
        <v>0</v>
      </c>
      <c r="X109">
        <v>-185737400</v>
      </c>
      <c r="Y109">
        <f t="shared" si="71"/>
        <v>7.0000000000000007E-2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</v>
      </c>
      <c r="AJ109">
        <v>1</v>
      </c>
      <c r="AK109">
        <v>1</v>
      </c>
      <c r="AL109">
        <v>1</v>
      </c>
      <c r="AM109">
        <v>-2</v>
      </c>
      <c r="AN109">
        <v>0</v>
      </c>
      <c r="AO109">
        <v>1</v>
      </c>
      <c r="AP109">
        <v>1</v>
      </c>
      <c r="AQ109">
        <v>0</v>
      </c>
      <c r="AR109">
        <v>0</v>
      </c>
      <c r="AS109" t="s">
        <v>3</v>
      </c>
      <c r="AT109">
        <v>7.0000000000000007E-2</v>
      </c>
      <c r="AU109" t="s">
        <v>3</v>
      </c>
      <c r="AV109">
        <v>2</v>
      </c>
      <c r="AW109">
        <v>2</v>
      </c>
      <c r="AX109">
        <v>40777389</v>
      </c>
      <c r="AY109">
        <v>1</v>
      </c>
      <c r="AZ109">
        <v>0</v>
      </c>
      <c r="BA109">
        <v>109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0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  <c r="BU109">
        <v>0</v>
      </c>
      <c r="BV109">
        <v>0</v>
      </c>
      <c r="BW109">
        <v>0</v>
      </c>
      <c r="CV109">
        <v>0</v>
      </c>
      <c r="CW109">
        <v>0</v>
      </c>
      <c r="CX109">
        <f>ROUND(Y109*Source!I43,9)</f>
        <v>1.7500000000000002E-2</v>
      </c>
      <c r="CY109">
        <f>AD109</f>
        <v>0</v>
      </c>
      <c r="CZ109">
        <f>AH109</f>
        <v>0</v>
      </c>
      <c r="DA109">
        <f>AL109</f>
        <v>1</v>
      </c>
      <c r="DB109">
        <f t="shared" si="72"/>
        <v>0</v>
      </c>
      <c r="DC109">
        <f t="shared" si="73"/>
        <v>0</v>
      </c>
      <c r="DD109" t="s">
        <v>3</v>
      </c>
      <c r="DE109" t="s">
        <v>3</v>
      </c>
      <c r="DF109">
        <f>ROUND(ROUND(AE109,2)*CX109,2)</f>
        <v>0</v>
      </c>
      <c r="DG109">
        <f t="shared" si="68"/>
        <v>0</v>
      </c>
      <c r="DH109">
        <f t="shared" si="69"/>
        <v>0</v>
      </c>
      <c r="DI109">
        <f t="shared" si="61"/>
        <v>0</v>
      </c>
      <c r="DJ109">
        <f>DI109</f>
        <v>0</v>
      </c>
      <c r="DK109">
        <v>0</v>
      </c>
      <c r="DL109" t="s">
        <v>3</v>
      </c>
      <c r="DM109">
        <v>0</v>
      </c>
      <c r="DN109" t="s">
        <v>3</v>
      </c>
      <c r="DO109">
        <v>0</v>
      </c>
    </row>
    <row r="110" spans="1:119" x14ac:dyDescent="0.2">
      <c r="A110">
        <f>ROW(Source!A43)</f>
        <v>43</v>
      </c>
      <c r="B110">
        <v>40777027</v>
      </c>
      <c r="C110">
        <v>40777382</v>
      </c>
      <c r="D110">
        <v>38684988</v>
      </c>
      <c r="E110">
        <v>1</v>
      </c>
      <c r="F110">
        <v>1</v>
      </c>
      <c r="G110">
        <v>1</v>
      </c>
      <c r="H110">
        <v>2</v>
      </c>
      <c r="I110" t="s">
        <v>474</v>
      </c>
      <c r="J110" t="s">
        <v>475</v>
      </c>
      <c r="K110" t="s">
        <v>476</v>
      </c>
      <c r="L110">
        <v>1368</v>
      </c>
      <c r="N110">
        <v>1011</v>
      </c>
      <c r="O110" t="s">
        <v>325</v>
      </c>
      <c r="P110" t="s">
        <v>325</v>
      </c>
      <c r="Q110">
        <v>1</v>
      </c>
      <c r="W110">
        <v>0</v>
      </c>
      <c r="X110">
        <v>-1096394961</v>
      </c>
      <c r="Y110">
        <f t="shared" si="71"/>
        <v>7.0000000000000007E-2</v>
      </c>
      <c r="AA110">
        <v>0</v>
      </c>
      <c r="AB110">
        <v>973.07</v>
      </c>
      <c r="AC110">
        <v>393.37</v>
      </c>
      <c r="AD110">
        <v>0</v>
      </c>
      <c r="AE110">
        <v>0</v>
      </c>
      <c r="AF110">
        <v>72.239999999999995</v>
      </c>
      <c r="AG110">
        <v>12.1</v>
      </c>
      <c r="AH110">
        <v>0</v>
      </c>
      <c r="AI110">
        <v>1</v>
      </c>
      <c r="AJ110">
        <v>13.47</v>
      </c>
      <c r="AK110">
        <v>32.51</v>
      </c>
      <c r="AL110">
        <v>1</v>
      </c>
      <c r="AM110">
        <v>2</v>
      </c>
      <c r="AN110">
        <v>0</v>
      </c>
      <c r="AO110">
        <v>1</v>
      </c>
      <c r="AP110">
        <v>1</v>
      </c>
      <c r="AQ110">
        <v>0</v>
      </c>
      <c r="AR110">
        <v>0</v>
      </c>
      <c r="AS110" t="s">
        <v>3</v>
      </c>
      <c r="AT110">
        <v>7.0000000000000007E-2</v>
      </c>
      <c r="AU110" t="s">
        <v>3</v>
      </c>
      <c r="AV110">
        <v>0</v>
      </c>
      <c r="AW110">
        <v>2</v>
      </c>
      <c r="AX110">
        <v>40777390</v>
      </c>
      <c r="AY110">
        <v>1</v>
      </c>
      <c r="AZ110">
        <v>0</v>
      </c>
      <c r="BA110">
        <v>110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0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  <c r="BU110">
        <v>0</v>
      </c>
      <c r="BV110">
        <v>0</v>
      </c>
      <c r="BW110">
        <v>0</v>
      </c>
      <c r="CV110">
        <v>0</v>
      </c>
      <c r="CW110">
        <f>ROUND(Y110*Source!I43,9)</f>
        <v>1.7500000000000002E-2</v>
      </c>
      <c r="CX110">
        <f>ROUND(Y110*Source!I43,9)</f>
        <v>1.7500000000000002E-2</v>
      </c>
      <c r="CY110">
        <f>AB110</f>
        <v>973.07</v>
      </c>
      <c r="CZ110">
        <f>AF110</f>
        <v>72.239999999999995</v>
      </c>
      <c r="DA110">
        <f>AJ110</f>
        <v>13.47</v>
      </c>
      <c r="DB110">
        <f t="shared" si="72"/>
        <v>5.0599999999999996</v>
      </c>
      <c r="DC110">
        <f t="shared" si="73"/>
        <v>0.85</v>
      </c>
      <c r="DD110" t="s">
        <v>3</v>
      </c>
      <c r="DE110" t="s">
        <v>3</v>
      </c>
      <c r="DF110">
        <f>ROUND(ROUND(AE110,2)*CX110,2)</f>
        <v>0</v>
      </c>
      <c r="DG110">
        <f>ROUND(ROUND(AF110*AJ110,2)*CX110,2)</f>
        <v>17.03</v>
      </c>
      <c r="DH110">
        <f>ROUND(ROUND(AG110*AK110,2)*CX110,2)</f>
        <v>6.88</v>
      </c>
      <c r="DI110">
        <f t="shared" si="61"/>
        <v>0</v>
      </c>
      <c r="DJ110">
        <f>DG110</f>
        <v>17.03</v>
      </c>
      <c r="DK110">
        <v>0</v>
      </c>
      <c r="DL110" t="s">
        <v>3</v>
      </c>
      <c r="DM110">
        <v>0</v>
      </c>
      <c r="DN110" t="s">
        <v>3</v>
      </c>
      <c r="DO110">
        <v>0</v>
      </c>
    </row>
    <row r="111" spans="1:119" x14ac:dyDescent="0.2">
      <c r="A111">
        <f>ROW(Source!A43)</f>
        <v>43</v>
      </c>
      <c r="B111">
        <v>40777027</v>
      </c>
      <c r="C111">
        <v>40777382</v>
      </c>
      <c r="D111">
        <v>38685529</v>
      </c>
      <c r="E111">
        <v>1</v>
      </c>
      <c r="F111">
        <v>1</v>
      </c>
      <c r="G111">
        <v>1</v>
      </c>
      <c r="H111">
        <v>2</v>
      </c>
      <c r="I111" t="s">
        <v>477</v>
      </c>
      <c r="J111" t="s">
        <v>478</v>
      </c>
      <c r="K111" t="s">
        <v>479</v>
      </c>
      <c r="L111">
        <v>1368</v>
      </c>
      <c r="N111">
        <v>1011</v>
      </c>
      <c r="O111" t="s">
        <v>325</v>
      </c>
      <c r="P111" t="s">
        <v>325</v>
      </c>
      <c r="Q111">
        <v>1</v>
      </c>
      <c r="W111">
        <v>0</v>
      </c>
      <c r="X111">
        <v>-1897785498</v>
      </c>
      <c r="Y111">
        <f t="shared" si="71"/>
        <v>0.14000000000000001</v>
      </c>
      <c r="AA111">
        <v>0</v>
      </c>
      <c r="AB111">
        <v>55.97</v>
      </c>
      <c r="AC111">
        <v>0</v>
      </c>
      <c r="AD111">
        <v>0</v>
      </c>
      <c r="AE111">
        <v>0</v>
      </c>
      <c r="AF111">
        <v>10.64</v>
      </c>
      <c r="AG111">
        <v>0</v>
      </c>
      <c r="AH111">
        <v>0</v>
      </c>
      <c r="AI111">
        <v>1</v>
      </c>
      <c r="AJ111">
        <v>5.26</v>
      </c>
      <c r="AK111">
        <v>32.51</v>
      </c>
      <c r="AL111">
        <v>1</v>
      </c>
      <c r="AM111">
        <v>2</v>
      </c>
      <c r="AN111">
        <v>0</v>
      </c>
      <c r="AO111">
        <v>1</v>
      </c>
      <c r="AP111">
        <v>1</v>
      </c>
      <c r="AQ111">
        <v>0</v>
      </c>
      <c r="AR111">
        <v>0</v>
      </c>
      <c r="AS111" t="s">
        <v>3</v>
      </c>
      <c r="AT111">
        <v>0.14000000000000001</v>
      </c>
      <c r="AU111" t="s">
        <v>3</v>
      </c>
      <c r="AV111">
        <v>0</v>
      </c>
      <c r="AW111">
        <v>2</v>
      </c>
      <c r="AX111">
        <v>40777391</v>
      </c>
      <c r="AY111">
        <v>1</v>
      </c>
      <c r="AZ111">
        <v>0</v>
      </c>
      <c r="BA111">
        <v>111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0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  <c r="BU111">
        <v>0</v>
      </c>
      <c r="BV111">
        <v>0</v>
      </c>
      <c r="BW111">
        <v>0</v>
      </c>
      <c r="CV111">
        <v>0</v>
      </c>
      <c r="CW111">
        <f>ROUND(Y111*Source!I43,9)</f>
        <v>3.5000000000000003E-2</v>
      </c>
      <c r="CX111">
        <f>ROUND(Y111*Source!I43,9)</f>
        <v>3.5000000000000003E-2</v>
      </c>
      <c r="CY111">
        <f>AB111</f>
        <v>55.97</v>
      </c>
      <c r="CZ111">
        <f>AF111</f>
        <v>10.64</v>
      </c>
      <c r="DA111">
        <f>AJ111</f>
        <v>5.26</v>
      </c>
      <c r="DB111">
        <f t="shared" si="72"/>
        <v>1.49</v>
      </c>
      <c r="DC111">
        <f t="shared" si="73"/>
        <v>0</v>
      </c>
      <c r="DD111" t="s">
        <v>3</v>
      </c>
      <c r="DE111" t="s">
        <v>3</v>
      </c>
      <c r="DF111">
        <f>ROUND(ROUND(AE111,2)*CX111,2)</f>
        <v>0</v>
      </c>
      <c r="DG111">
        <f>ROUND(ROUND(AF111*AJ111,2)*CX111,2)</f>
        <v>1.96</v>
      </c>
      <c r="DH111">
        <f>ROUND(ROUND(AG111*AK111,2)*CX111,2)</f>
        <v>0</v>
      </c>
      <c r="DI111">
        <f t="shared" si="61"/>
        <v>0</v>
      </c>
      <c r="DJ111">
        <f>DG111</f>
        <v>1.96</v>
      </c>
      <c r="DK111">
        <v>0</v>
      </c>
      <c r="DL111" t="s">
        <v>3</v>
      </c>
      <c r="DM111">
        <v>0</v>
      </c>
      <c r="DN111" t="s">
        <v>3</v>
      </c>
      <c r="DO111">
        <v>0</v>
      </c>
    </row>
    <row r="112" spans="1:119" x14ac:dyDescent="0.2">
      <c r="A112">
        <f>ROW(Source!A43)</f>
        <v>43</v>
      </c>
      <c r="B112">
        <v>40777027</v>
      </c>
      <c r="C112">
        <v>40777382</v>
      </c>
      <c r="D112">
        <v>38663653</v>
      </c>
      <c r="E112">
        <v>1</v>
      </c>
      <c r="F112">
        <v>1</v>
      </c>
      <c r="G112">
        <v>1</v>
      </c>
      <c r="H112">
        <v>3</v>
      </c>
      <c r="I112" t="s">
        <v>480</v>
      </c>
      <c r="J112" t="s">
        <v>481</v>
      </c>
      <c r="K112" t="s">
        <v>482</v>
      </c>
      <c r="L112">
        <v>1339</v>
      </c>
      <c r="N112">
        <v>1007</v>
      </c>
      <c r="O112" t="s">
        <v>339</v>
      </c>
      <c r="P112" t="s">
        <v>339</v>
      </c>
      <c r="Q112">
        <v>1</v>
      </c>
      <c r="W112">
        <v>0</v>
      </c>
      <c r="X112">
        <v>307790263</v>
      </c>
      <c r="Y112">
        <f t="shared" si="71"/>
        <v>15</v>
      </c>
      <c r="AA112">
        <v>741.2</v>
      </c>
      <c r="AB112">
        <v>0</v>
      </c>
      <c r="AC112">
        <v>0</v>
      </c>
      <c r="AD112">
        <v>0</v>
      </c>
      <c r="AE112">
        <v>136</v>
      </c>
      <c r="AF112">
        <v>0</v>
      </c>
      <c r="AG112">
        <v>0</v>
      </c>
      <c r="AH112">
        <v>0</v>
      </c>
      <c r="AI112">
        <v>5.45</v>
      </c>
      <c r="AJ112">
        <v>1</v>
      </c>
      <c r="AK112">
        <v>1</v>
      </c>
      <c r="AL112">
        <v>1</v>
      </c>
      <c r="AM112">
        <v>2</v>
      </c>
      <c r="AN112">
        <v>0</v>
      </c>
      <c r="AO112">
        <v>1</v>
      </c>
      <c r="AP112">
        <v>1</v>
      </c>
      <c r="AQ112">
        <v>0</v>
      </c>
      <c r="AR112">
        <v>0</v>
      </c>
      <c r="AS112" t="s">
        <v>3</v>
      </c>
      <c r="AT112">
        <v>15</v>
      </c>
      <c r="AU112" t="s">
        <v>3</v>
      </c>
      <c r="AV112">
        <v>0</v>
      </c>
      <c r="AW112">
        <v>2</v>
      </c>
      <c r="AX112">
        <v>40777392</v>
      </c>
      <c r="AY112">
        <v>1</v>
      </c>
      <c r="AZ112">
        <v>0</v>
      </c>
      <c r="BA112">
        <v>112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0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  <c r="BU112">
        <v>0</v>
      </c>
      <c r="BV112">
        <v>0</v>
      </c>
      <c r="BW112">
        <v>0</v>
      </c>
      <c r="CV112">
        <v>0</v>
      </c>
      <c r="CW112">
        <v>0</v>
      </c>
      <c r="CX112">
        <f>ROUND(Y112*Source!I43,9)</f>
        <v>3.75</v>
      </c>
      <c r="CY112">
        <f>AA112</f>
        <v>741.2</v>
      </c>
      <c r="CZ112">
        <f>AE112</f>
        <v>136</v>
      </c>
      <c r="DA112">
        <f>AI112</f>
        <v>5.45</v>
      </c>
      <c r="DB112">
        <f t="shared" si="72"/>
        <v>2040</v>
      </c>
      <c r="DC112">
        <f t="shared" si="73"/>
        <v>0</v>
      </c>
      <c r="DD112" t="s">
        <v>3</v>
      </c>
      <c r="DE112" t="s">
        <v>3</v>
      </c>
      <c r="DF112">
        <f>ROUND(ROUND(AE112*AI112,2)*CX112,2)</f>
        <v>2779.5</v>
      </c>
      <c r="DG112">
        <f>ROUND(ROUND(AF112,2)*CX112,2)</f>
        <v>0</v>
      </c>
      <c r="DH112">
        <f>ROUND(ROUND(AG112,2)*CX112,2)</f>
        <v>0</v>
      </c>
      <c r="DI112">
        <f t="shared" si="61"/>
        <v>0</v>
      </c>
      <c r="DJ112">
        <f>DF112</f>
        <v>2779.5</v>
      </c>
      <c r="DK112">
        <v>0</v>
      </c>
      <c r="DL112" t="s">
        <v>3</v>
      </c>
      <c r="DM112">
        <v>0</v>
      </c>
      <c r="DN112" t="s">
        <v>3</v>
      </c>
      <c r="DO112">
        <v>0</v>
      </c>
    </row>
    <row r="113" spans="1:119" x14ac:dyDescent="0.2">
      <c r="A113">
        <f>ROW(Source!A44)</f>
        <v>44</v>
      </c>
      <c r="B113">
        <v>40777027</v>
      </c>
      <c r="C113">
        <v>40777393</v>
      </c>
      <c r="D113">
        <v>23135014</v>
      </c>
      <c r="E113">
        <v>1</v>
      </c>
      <c r="F113">
        <v>1</v>
      </c>
      <c r="G113">
        <v>1</v>
      </c>
      <c r="H113">
        <v>1</v>
      </c>
      <c r="I113" t="s">
        <v>331</v>
      </c>
      <c r="J113" t="s">
        <v>3</v>
      </c>
      <c r="K113" t="s">
        <v>332</v>
      </c>
      <c r="L113">
        <v>1369</v>
      </c>
      <c r="N113">
        <v>1013</v>
      </c>
      <c r="O113" t="s">
        <v>319</v>
      </c>
      <c r="P113" t="s">
        <v>319</v>
      </c>
      <c r="Q113">
        <v>1</v>
      </c>
      <c r="W113">
        <v>0</v>
      </c>
      <c r="X113">
        <v>-883932286</v>
      </c>
      <c r="Y113">
        <f t="shared" si="71"/>
        <v>5.99</v>
      </c>
      <c r="AA113">
        <v>0</v>
      </c>
      <c r="AB113">
        <v>0</v>
      </c>
      <c r="AC113">
        <v>0</v>
      </c>
      <c r="AD113">
        <v>7.9</v>
      </c>
      <c r="AE113">
        <v>0</v>
      </c>
      <c r="AF113">
        <v>0</v>
      </c>
      <c r="AG113">
        <v>0</v>
      </c>
      <c r="AH113">
        <v>7.9</v>
      </c>
      <c r="AI113">
        <v>1</v>
      </c>
      <c r="AJ113">
        <v>1</v>
      </c>
      <c r="AK113">
        <v>1</v>
      </c>
      <c r="AL113">
        <v>1</v>
      </c>
      <c r="AM113">
        <v>-2</v>
      </c>
      <c r="AN113">
        <v>0</v>
      </c>
      <c r="AO113">
        <v>1</v>
      </c>
      <c r="AP113">
        <v>1</v>
      </c>
      <c r="AQ113">
        <v>0</v>
      </c>
      <c r="AR113">
        <v>0</v>
      </c>
      <c r="AS113" t="s">
        <v>3</v>
      </c>
      <c r="AT113">
        <v>5.99</v>
      </c>
      <c r="AU113" t="s">
        <v>3</v>
      </c>
      <c r="AV113">
        <v>1</v>
      </c>
      <c r="AW113">
        <v>2</v>
      </c>
      <c r="AX113">
        <v>40777400</v>
      </c>
      <c r="AY113">
        <v>1</v>
      </c>
      <c r="AZ113">
        <v>0</v>
      </c>
      <c r="BA113">
        <v>113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0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  <c r="BU113">
        <v>0</v>
      </c>
      <c r="BV113">
        <v>0</v>
      </c>
      <c r="BW113">
        <v>0</v>
      </c>
      <c r="CU113">
        <f>ROUND(AT113*Source!I44*AH113*AL113,2)</f>
        <v>11.83</v>
      </c>
      <c r="CV113">
        <f>ROUND(Y113*Source!I44,9)</f>
        <v>1.4975000000000001</v>
      </c>
      <c r="CW113">
        <v>0</v>
      </c>
      <c r="CX113">
        <f>ROUND(Y113*Source!I44,9)</f>
        <v>1.4975000000000001</v>
      </c>
      <c r="CY113">
        <f>AD113</f>
        <v>7.9</v>
      </c>
      <c r="CZ113">
        <f>AH113</f>
        <v>7.9</v>
      </c>
      <c r="DA113">
        <f>AL113</f>
        <v>1</v>
      </c>
      <c r="DB113">
        <f t="shared" si="72"/>
        <v>47.32</v>
      </c>
      <c r="DC113">
        <f t="shared" si="73"/>
        <v>0</v>
      </c>
      <c r="DD113" t="s">
        <v>3</v>
      </c>
      <c r="DE113" t="s">
        <v>3</v>
      </c>
      <c r="DF113">
        <f>ROUND(ROUND(AE113,2)*CX113,2)</f>
        <v>0</v>
      </c>
      <c r="DG113">
        <f>ROUND(ROUND(AF113,2)*CX113,2)</f>
        <v>0</v>
      </c>
      <c r="DH113">
        <f>ROUND(ROUND(AG113,2)*CX113,2)</f>
        <v>0</v>
      </c>
      <c r="DI113">
        <f t="shared" si="61"/>
        <v>11.83</v>
      </c>
      <c r="DJ113">
        <f>DI113</f>
        <v>11.83</v>
      </c>
      <c r="DK113">
        <v>0</v>
      </c>
      <c r="DL113" t="s">
        <v>3</v>
      </c>
      <c r="DM113">
        <v>0</v>
      </c>
      <c r="DN113" t="s">
        <v>3</v>
      </c>
      <c r="DO113">
        <v>0</v>
      </c>
    </row>
    <row r="114" spans="1:119" x14ac:dyDescent="0.2">
      <c r="A114">
        <f>ROW(Source!A44)</f>
        <v>44</v>
      </c>
      <c r="B114">
        <v>40777027</v>
      </c>
      <c r="C114">
        <v>40777393</v>
      </c>
      <c r="D114">
        <v>121548</v>
      </c>
      <c r="E114">
        <v>1</v>
      </c>
      <c r="F114">
        <v>1</v>
      </c>
      <c r="G114">
        <v>1</v>
      </c>
      <c r="H114">
        <v>1</v>
      </c>
      <c r="I114" t="s">
        <v>26</v>
      </c>
      <c r="J114" t="s">
        <v>3</v>
      </c>
      <c r="K114" t="s">
        <v>320</v>
      </c>
      <c r="L114">
        <v>608254</v>
      </c>
      <c r="N114">
        <v>1013</v>
      </c>
      <c r="O114" t="s">
        <v>321</v>
      </c>
      <c r="P114" t="s">
        <v>321</v>
      </c>
      <c r="Q114">
        <v>1</v>
      </c>
      <c r="W114">
        <v>0</v>
      </c>
      <c r="X114">
        <v>-185737400</v>
      </c>
      <c r="Y114">
        <f t="shared" si="71"/>
        <v>2.74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1</v>
      </c>
      <c r="AJ114">
        <v>1</v>
      </c>
      <c r="AK114">
        <v>1</v>
      </c>
      <c r="AL114">
        <v>1</v>
      </c>
      <c r="AM114">
        <v>-2</v>
      </c>
      <c r="AN114">
        <v>0</v>
      </c>
      <c r="AO114">
        <v>1</v>
      </c>
      <c r="AP114">
        <v>1</v>
      </c>
      <c r="AQ114">
        <v>0</v>
      </c>
      <c r="AR114">
        <v>0</v>
      </c>
      <c r="AS114" t="s">
        <v>3</v>
      </c>
      <c r="AT114">
        <v>2.74</v>
      </c>
      <c r="AU114" t="s">
        <v>3</v>
      </c>
      <c r="AV114">
        <v>2</v>
      </c>
      <c r="AW114">
        <v>2</v>
      </c>
      <c r="AX114">
        <v>40777401</v>
      </c>
      <c r="AY114">
        <v>1</v>
      </c>
      <c r="AZ114">
        <v>0</v>
      </c>
      <c r="BA114">
        <v>114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0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  <c r="BU114">
        <v>0</v>
      </c>
      <c r="BV114">
        <v>0</v>
      </c>
      <c r="BW114">
        <v>0</v>
      </c>
      <c r="CV114">
        <v>0</v>
      </c>
      <c r="CW114">
        <v>0</v>
      </c>
      <c r="CX114">
        <f>ROUND(Y114*Source!I44,9)</f>
        <v>0.68500000000000005</v>
      </c>
      <c r="CY114">
        <f>AD114</f>
        <v>0</v>
      </c>
      <c r="CZ114">
        <f>AH114</f>
        <v>0</v>
      </c>
      <c r="DA114">
        <f>AL114</f>
        <v>1</v>
      </c>
      <c r="DB114">
        <f t="shared" si="72"/>
        <v>0</v>
      </c>
      <c r="DC114">
        <f t="shared" si="73"/>
        <v>0</v>
      </c>
      <c r="DD114" t="s">
        <v>3</v>
      </c>
      <c r="DE114" t="s">
        <v>3</v>
      </c>
      <c r="DF114">
        <f>ROUND(ROUND(AE114,2)*CX114,2)</f>
        <v>0</v>
      </c>
      <c r="DG114">
        <f>ROUND(ROUND(AF114,2)*CX114,2)</f>
        <v>0</v>
      </c>
      <c r="DH114">
        <f>ROUND(ROUND(AG114,2)*CX114,2)</f>
        <v>0</v>
      </c>
      <c r="DI114">
        <f t="shared" si="61"/>
        <v>0</v>
      </c>
      <c r="DJ114">
        <f>DI114</f>
        <v>0</v>
      </c>
      <c r="DK114">
        <v>0</v>
      </c>
      <c r="DL114" t="s">
        <v>3</v>
      </c>
      <c r="DM114">
        <v>0</v>
      </c>
      <c r="DN114" t="s">
        <v>3</v>
      </c>
      <c r="DO114">
        <v>0</v>
      </c>
    </row>
    <row r="115" spans="1:119" x14ac:dyDescent="0.2">
      <c r="A115">
        <f>ROW(Source!A44)</f>
        <v>44</v>
      </c>
      <c r="B115">
        <v>40777027</v>
      </c>
      <c r="C115">
        <v>40777393</v>
      </c>
      <c r="D115">
        <v>38685729</v>
      </c>
      <c r="E115">
        <v>1</v>
      </c>
      <c r="F115">
        <v>1</v>
      </c>
      <c r="G115">
        <v>1</v>
      </c>
      <c r="H115">
        <v>2</v>
      </c>
      <c r="I115" t="s">
        <v>451</v>
      </c>
      <c r="J115" t="s">
        <v>452</v>
      </c>
      <c r="K115" t="s">
        <v>453</v>
      </c>
      <c r="L115">
        <v>1368</v>
      </c>
      <c r="N115">
        <v>1011</v>
      </c>
      <c r="O115" t="s">
        <v>325</v>
      </c>
      <c r="P115" t="s">
        <v>325</v>
      </c>
      <c r="Q115">
        <v>1</v>
      </c>
      <c r="W115">
        <v>0</v>
      </c>
      <c r="X115">
        <v>1797372022</v>
      </c>
      <c r="Y115">
        <f t="shared" si="71"/>
        <v>2.74</v>
      </c>
      <c r="AA115">
        <v>0</v>
      </c>
      <c r="AB115">
        <v>1532.36</v>
      </c>
      <c r="AC115">
        <v>336.48</v>
      </c>
      <c r="AD115">
        <v>0</v>
      </c>
      <c r="AE115">
        <v>0</v>
      </c>
      <c r="AF115">
        <v>119.25</v>
      </c>
      <c r="AG115">
        <v>10.35</v>
      </c>
      <c r="AH115">
        <v>0</v>
      </c>
      <c r="AI115">
        <v>1</v>
      </c>
      <c r="AJ115">
        <v>12.85</v>
      </c>
      <c r="AK115">
        <v>32.51</v>
      </c>
      <c r="AL115">
        <v>1</v>
      </c>
      <c r="AM115">
        <v>2</v>
      </c>
      <c r="AN115">
        <v>0</v>
      </c>
      <c r="AO115">
        <v>1</v>
      </c>
      <c r="AP115">
        <v>1</v>
      </c>
      <c r="AQ115">
        <v>0</v>
      </c>
      <c r="AR115">
        <v>0</v>
      </c>
      <c r="AS115" t="s">
        <v>3</v>
      </c>
      <c r="AT115">
        <v>2.74</v>
      </c>
      <c r="AU115" t="s">
        <v>3</v>
      </c>
      <c r="AV115">
        <v>0</v>
      </c>
      <c r="AW115">
        <v>2</v>
      </c>
      <c r="AX115">
        <v>40777402</v>
      </c>
      <c r="AY115">
        <v>1</v>
      </c>
      <c r="AZ115">
        <v>0</v>
      </c>
      <c r="BA115">
        <v>115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0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  <c r="BU115">
        <v>0</v>
      </c>
      <c r="BV115">
        <v>0</v>
      </c>
      <c r="BW115">
        <v>0</v>
      </c>
      <c r="CV115">
        <v>0</v>
      </c>
      <c r="CW115">
        <f>ROUND(Y115*Source!I44,9)</f>
        <v>0.68500000000000005</v>
      </c>
      <c r="CX115">
        <f>ROUND(Y115*Source!I44,9)</f>
        <v>0.68500000000000005</v>
      </c>
      <c r="CY115">
        <f>AB115</f>
        <v>1532.36</v>
      </c>
      <c r="CZ115">
        <f>AF115</f>
        <v>119.25</v>
      </c>
      <c r="DA115">
        <f>AJ115</f>
        <v>12.85</v>
      </c>
      <c r="DB115">
        <f t="shared" si="72"/>
        <v>326.75</v>
      </c>
      <c r="DC115">
        <f t="shared" si="73"/>
        <v>28.36</v>
      </c>
      <c r="DD115" t="s">
        <v>3</v>
      </c>
      <c r="DE115" t="s">
        <v>3</v>
      </c>
      <c r="DF115">
        <f>ROUND(ROUND(AE115,2)*CX115,2)</f>
        <v>0</v>
      </c>
      <c r="DG115">
        <f>ROUND(ROUND(AF115*AJ115,2)*CX115,2)</f>
        <v>1049.67</v>
      </c>
      <c r="DH115">
        <f>ROUND(ROUND(AG115*AK115,2)*CX115,2)</f>
        <v>230.49</v>
      </c>
      <c r="DI115">
        <f t="shared" si="61"/>
        <v>0</v>
      </c>
      <c r="DJ115">
        <f>DG115</f>
        <v>1049.67</v>
      </c>
      <c r="DK115">
        <v>0</v>
      </c>
      <c r="DL115" t="s">
        <v>3</v>
      </c>
      <c r="DM115">
        <v>0</v>
      </c>
      <c r="DN115" t="s">
        <v>3</v>
      </c>
      <c r="DO115">
        <v>0</v>
      </c>
    </row>
    <row r="116" spans="1:119" x14ac:dyDescent="0.2">
      <c r="A116">
        <f>ROW(Source!A44)</f>
        <v>44</v>
      </c>
      <c r="B116">
        <v>40777027</v>
      </c>
      <c r="C116">
        <v>40777393</v>
      </c>
      <c r="D116">
        <v>38664221</v>
      </c>
      <c r="E116">
        <v>1</v>
      </c>
      <c r="F116">
        <v>1</v>
      </c>
      <c r="G116">
        <v>1</v>
      </c>
      <c r="H116">
        <v>3</v>
      </c>
      <c r="I116" t="s">
        <v>469</v>
      </c>
      <c r="J116" t="s">
        <v>470</v>
      </c>
      <c r="K116" t="s">
        <v>471</v>
      </c>
      <c r="L116">
        <v>1339</v>
      </c>
      <c r="N116">
        <v>1007</v>
      </c>
      <c r="O116" t="s">
        <v>339</v>
      </c>
      <c r="P116" t="s">
        <v>339</v>
      </c>
      <c r="Q116">
        <v>1</v>
      </c>
      <c r="W116">
        <v>0</v>
      </c>
      <c r="X116">
        <v>-1418712732</v>
      </c>
      <c r="Y116">
        <f t="shared" si="71"/>
        <v>10</v>
      </c>
      <c r="AA116">
        <v>54.91</v>
      </c>
      <c r="AB116">
        <v>0</v>
      </c>
      <c r="AC116">
        <v>0</v>
      </c>
      <c r="AD116">
        <v>0</v>
      </c>
      <c r="AE116">
        <v>2.4700000000000002</v>
      </c>
      <c r="AF116">
        <v>0</v>
      </c>
      <c r="AG116">
        <v>0</v>
      </c>
      <c r="AH116">
        <v>0</v>
      </c>
      <c r="AI116">
        <v>22.23</v>
      </c>
      <c r="AJ116">
        <v>1</v>
      </c>
      <c r="AK116">
        <v>1</v>
      </c>
      <c r="AL116">
        <v>1</v>
      </c>
      <c r="AM116">
        <v>2</v>
      </c>
      <c r="AN116">
        <v>0</v>
      </c>
      <c r="AO116">
        <v>1</v>
      </c>
      <c r="AP116">
        <v>1</v>
      </c>
      <c r="AQ116">
        <v>0</v>
      </c>
      <c r="AR116">
        <v>0</v>
      </c>
      <c r="AS116" t="s">
        <v>3</v>
      </c>
      <c r="AT116">
        <v>10</v>
      </c>
      <c r="AU116" t="s">
        <v>3</v>
      </c>
      <c r="AV116">
        <v>0</v>
      </c>
      <c r="AW116">
        <v>2</v>
      </c>
      <c r="AX116">
        <v>40777403</v>
      </c>
      <c r="AY116">
        <v>1</v>
      </c>
      <c r="AZ116">
        <v>0</v>
      </c>
      <c r="BA116">
        <v>116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0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  <c r="BU116">
        <v>0</v>
      </c>
      <c r="BV116">
        <v>0</v>
      </c>
      <c r="BW116">
        <v>0</v>
      </c>
      <c r="CV116">
        <v>0</v>
      </c>
      <c r="CW116">
        <v>0</v>
      </c>
      <c r="CX116">
        <f>ROUND(Y116*Source!I44,9)</f>
        <v>2.5</v>
      </c>
      <c r="CY116">
        <f>AA116</f>
        <v>54.91</v>
      </c>
      <c r="CZ116">
        <f>AE116</f>
        <v>2.4700000000000002</v>
      </c>
      <c r="DA116">
        <f>AI116</f>
        <v>22.23</v>
      </c>
      <c r="DB116">
        <f t="shared" si="72"/>
        <v>24.7</v>
      </c>
      <c r="DC116">
        <f t="shared" si="73"/>
        <v>0</v>
      </c>
      <c r="DD116" t="s">
        <v>3</v>
      </c>
      <c r="DE116" t="s">
        <v>3</v>
      </c>
      <c r="DF116">
        <f>ROUND(ROUND(AE116*AI116,2)*CX116,2)</f>
        <v>137.28</v>
      </c>
      <c r="DG116">
        <f>ROUND(ROUND(AF116,2)*CX116,2)</f>
        <v>0</v>
      </c>
      <c r="DH116">
        <f>ROUND(ROUND(AG116,2)*CX116,2)</f>
        <v>0</v>
      </c>
      <c r="DI116">
        <f t="shared" si="61"/>
        <v>0</v>
      </c>
      <c r="DJ116">
        <f>DF116</f>
        <v>137.28</v>
      </c>
      <c r="DK116">
        <v>0</v>
      </c>
      <c r="DL116" t="s">
        <v>3</v>
      </c>
      <c r="DM116">
        <v>0</v>
      </c>
      <c r="DN116" t="s">
        <v>3</v>
      </c>
      <c r="DO116">
        <v>0</v>
      </c>
    </row>
    <row r="117" spans="1:119" x14ac:dyDescent="0.2">
      <c r="A117">
        <f>ROW(Source!A44)</f>
        <v>44</v>
      </c>
      <c r="B117">
        <v>40777027</v>
      </c>
      <c r="C117">
        <v>40777393</v>
      </c>
      <c r="D117">
        <v>38665643</v>
      </c>
      <c r="E117">
        <v>1</v>
      </c>
      <c r="F117">
        <v>1</v>
      </c>
      <c r="G117">
        <v>1</v>
      </c>
      <c r="H117">
        <v>3</v>
      </c>
      <c r="I117" t="s">
        <v>483</v>
      </c>
      <c r="J117" t="s">
        <v>484</v>
      </c>
      <c r="K117" t="s">
        <v>485</v>
      </c>
      <c r="L117">
        <v>1346</v>
      </c>
      <c r="N117">
        <v>1009</v>
      </c>
      <c r="O117" t="s">
        <v>141</v>
      </c>
      <c r="P117" t="s">
        <v>141</v>
      </c>
      <c r="Q117">
        <v>1</v>
      </c>
      <c r="W117">
        <v>0</v>
      </c>
      <c r="X117">
        <v>-1429506066</v>
      </c>
      <c r="Y117">
        <f t="shared" si="71"/>
        <v>2</v>
      </c>
      <c r="AA117">
        <v>273.13</v>
      </c>
      <c r="AB117">
        <v>0</v>
      </c>
      <c r="AC117">
        <v>0</v>
      </c>
      <c r="AD117">
        <v>0</v>
      </c>
      <c r="AE117">
        <v>148.44</v>
      </c>
      <c r="AF117">
        <v>0</v>
      </c>
      <c r="AG117">
        <v>0</v>
      </c>
      <c r="AH117">
        <v>0</v>
      </c>
      <c r="AI117">
        <v>1.84</v>
      </c>
      <c r="AJ117">
        <v>1</v>
      </c>
      <c r="AK117">
        <v>1</v>
      </c>
      <c r="AL117">
        <v>1</v>
      </c>
      <c r="AM117">
        <v>2</v>
      </c>
      <c r="AN117">
        <v>0</v>
      </c>
      <c r="AO117">
        <v>1</v>
      </c>
      <c r="AP117">
        <v>1</v>
      </c>
      <c r="AQ117">
        <v>0</v>
      </c>
      <c r="AR117">
        <v>0</v>
      </c>
      <c r="AS117" t="s">
        <v>3</v>
      </c>
      <c r="AT117">
        <v>2</v>
      </c>
      <c r="AU117" t="s">
        <v>3</v>
      </c>
      <c r="AV117">
        <v>0</v>
      </c>
      <c r="AW117">
        <v>2</v>
      </c>
      <c r="AX117">
        <v>40777404</v>
      </c>
      <c r="AY117">
        <v>1</v>
      </c>
      <c r="AZ117">
        <v>0</v>
      </c>
      <c r="BA117">
        <v>117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0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  <c r="BU117">
        <v>0</v>
      </c>
      <c r="BV117">
        <v>0</v>
      </c>
      <c r="BW117">
        <v>0</v>
      </c>
      <c r="CV117">
        <v>0</v>
      </c>
      <c r="CW117">
        <v>0</v>
      </c>
      <c r="CX117">
        <f>ROUND(Y117*Source!I44,9)</f>
        <v>0.5</v>
      </c>
      <c r="CY117">
        <f>AA117</f>
        <v>273.13</v>
      </c>
      <c r="CZ117">
        <f>AE117</f>
        <v>148.44</v>
      </c>
      <c r="DA117">
        <f>AI117</f>
        <v>1.84</v>
      </c>
      <c r="DB117">
        <f t="shared" si="72"/>
        <v>296.88</v>
      </c>
      <c r="DC117">
        <f t="shared" si="73"/>
        <v>0</v>
      </c>
      <c r="DD117" t="s">
        <v>3</v>
      </c>
      <c r="DE117" t="s">
        <v>3</v>
      </c>
      <c r="DF117">
        <f>ROUND(ROUND(AE117*AI117,2)*CX117,2)</f>
        <v>136.57</v>
      </c>
      <c r="DG117">
        <f>ROUND(ROUND(AF117,2)*CX117,2)</f>
        <v>0</v>
      </c>
      <c r="DH117">
        <f>ROUND(ROUND(AG117,2)*CX117,2)</f>
        <v>0</v>
      </c>
      <c r="DI117">
        <f t="shared" si="61"/>
        <v>0</v>
      </c>
      <c r="DJ117">
        <f>DF117</f>
        <v>136.57</v>
      </c>
      <c r="DK117">
        <v>0</v>
      </c>
      <c r="DL117" t="s">
        <v>3</v>
      </c>
      <c r="DM117">
        <v>0</v>
      </c>
      <c r="DN117" t="s">
        <v>3</v>
      </c>
      <c r="DO117">
        <v>0</v>
      </c>
    </row>
    <row r="118" spans="1:119" x14ac:dyDescent="0.2">
      <c r="A118">
        <f>ROW(Source!A44)</f>
        <v>44</v>
      </c>
      <c r="B118">
        <v>40777027</v>
      </c>
      <c r="C118">
        <v>40777393</v>
      </c>
      <c r="D118">
        <v>38665496</v>
      </c>
      <c r="E118">
        <v>1</v>
      </c>
      <c r="F118">
        <v>1</v>
      </c>
      <c r="G118">
        <v>1</v>
      </c>
      <c r="H118">
        <v>3</v>
      </c>
      <c r="I118" t="s">
        <v>139</v>
      </c>
      <c r="J118" t="s">
        <v>142</v>
      </c>
      <c r="K118" t="s">
        <v>140</v>
      </c>
      <c r="L118">
        <v>1346</v>
      </c>
      <c r="N118">
        <v>1009</v>
      </c>
      <c r="O118" t="s">
        <v>141</v>
      </c>
      <c r="P118" t="s">
        <v>141</v>
      </c>
      <c r="Q118">
        <v>1</v>
      </c>
      <c r="W118">
        <v>0</v>
      </c>
      <c r="X118">
        <v>555801457</v>
      </c>
      <c r="Y118">
        <f t="shared" si="71"/>
        <v>80</v>
      </c>
      <c r="AA118">
        <v>262.31</v>
      </c>
      <c r="AB118">
        <v>0</v>
      </c>
      <c r="AC118">
        <v>0</v>
      </c>
      <c r="AD118">
        <v>0</v>
      </c>
      <c r="AE118">
        <v>37.42</v>
      </c>
      <c r="AF118">
        <v>0</v>
      </c>
      <c r="AG118">
        <v>0</v>
      </c>
      <c r="AH118">
        <v>0</v>
      </c>
      <c r="AI118">
        <v>7.01</v>
      </c>
      <c r="AJ118">
        <v>1</v>
      </c>
      <c r="AK118">
        <v>1</v>
      </c>
      <c r="AL118">
        <v>1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 t="s">
        <v>3</v>
      </c>
      <c r="AT118">
        <v>80</v>
      </c>
      <c r="AU118" t="s">
        <v>3</v>
      </c>
      <c r="AV118">
        <v>0</v>
      </c>
      <c r="AW118">
        <v>1</v>
      </c>
      <c r="AX118">
        <v>-1</v>
      </c>
      <c r="AY118">
        <v>0</v>
      </c>
      <c r="AZ118">
        <v>0</v>
      </c>
      <c r="BA118" t="s">
        <v>3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0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  <c r="BU118">
        <v>0</v>
      </c>
      <c r="BV118">
        <v>0</v>
      </c>
      <c r="BW118">
        <v>0</v>
      </c>
      <c r="CV118">
        <v>0</v>
      </c>
      <c r="CW118">
        <v>0</v>
      </c>
      <c r="CX118">
        <f>ROUND(Y118*Source!I44,9)</f>
        <v>20</v>
      </c>
      <c r="CY118">
        <f>AA118</f>
        <v>262.31</v>
      </c>
      <c r="CZ118">
        <f>AE118</f>
        <v>37.42</v>
      </c>
      <c r="DA118">
        <f>AI118</f>
        <v>7.01</v>
      </c>
      <c r="DB118">
        <f t="shared" si="72"/>
        <v>2993.6</v>
      </c>
      <c r="DC118">
        <f t="shared" si="73"/>
        <v>0</v>
      </c>
      <c r="DD118" t="s">
        <v>3</v>
      </c>
      <c r="DE118" t="s">
        <v>3</v>
      </c>
      <c r="DF118">
        <f>ROUND(ROUND(AE118*AI118,2)*CX118,2)</f>
        <v>5246.2</v>
      </c>
      <c r="DG118">
        <f>ROUND(ROUND(AF118,2)*CX118,2)</f>
        <v>0</v>
      </c>
      <c r="DH118">
        <f>ROUND(ROUND(AG118,2)*CX118,2)</f>
        <v>0</v>
      </c>
      <c r="DI118">
        <f t="shared" si="61"/>
        <v>0</v>
      </c>
      <c r="DJ118">
        <f>DF118</f>
        <v>5246.2</v>
      </c>
      <c r="DK118">
        <v>0</v>
      </c>
      <c r="DL118" t="s">
        <v>3</v>
      </c>
      <c r="DM118">
        <v>0</v>
      </c>
      <c r="DN118" t="s">
        <v>3</v>
      </c>
      <c r="DO118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117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40777153</v>
      </c>
      <c r="C1">
        <v>40777149</v>
      </c>
      <c r="D1">
        <v>23129555</v>
      </c>
      <c r="E1">
        <v>1</v>
      </c>
      <c r="F1">
        <v>1</v>
      </c>
      <c r="G1">
        <v>1</v>
      </c>
      <c r="H1">
        <v>1</v>
      </c>
      <c r="I1" t="s">
        <v>317</v>
      </c>
      <c r="J1" t="s">
        <v>3</v>
      </c>
      <c r="K1" t="s">
        <v>318</v>
      </c>
      <c r="L1">
        <v>1369</v>
      </c>
      <c r="N1">
        <v>1013</v>
      </c>
      <c r="O1" t="s">
        <v>319</v>
      </c>
      <c r="P1" t="s">
        <v>319</v>
      </c>
      <c r="Q1">
        <v>1</v>
      </c>
      <c r="X1">
        <v>13.57</v>
      </c>
      <c r="Y1">
        <v>0</v>
      </c>
      <c r="Z1">
        <v>0</v>
      </c>
      <c r="AA1">
        <v>0</v>
      </c>
      <c r="AB1">
        <v>7.29</v>
      </c>
      <c r="AC1">
        <v>0</v>
      </c>
      <c r="AD1">
        <v>1</v>
      </c>
      <c r="AE1">
        <v>1</v>
      </c>
      <c r="AF1" t="s">
        <v>3</v>
      </c>
      <c r="AG1">
        <v>13.57</v>
      </c>
      <c r="AH1">
        <v>2</v>
      </c>
      <c r="AI1">
        <v>40777150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40777154</v>
      </c>
      <c r="C2">
        <v>40777149</v>
      </c>
      <c r="D2">
        <v>121548</v>
      </c>
      <c r="E2">
        <v>1</v>
      </c>
      <c r="F2">
        <v>1</v>
      </c>
      <c r="G2">
        <v>1</v>
      </c>
      <c r="H2">
        <v>1</v>
      </c>
      <c r="I2" t="s">
        <v>26</v>
      </c>
      <c r="J2" t="s">
        <v>3</v>
      </c>
      <c r="K2" t="s">
        <v>320</v>
      </c>
      <c r="L2">
        <v>608254</v>
      </c>
      <c r="N2">
        <v>1013</v>
      </c>
      <c r="O2" t="s">
        <v>321</v>
      </c>
      <c r="P2" t="s">
        <v>321</v>
      </c>
      <c r="Q2">
        <v>1</v>
      </c>
      <c r="X2">
        <v>29.5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29.5</v>
      </c>
      <c r="AH2">
        <v>2</v>
      </c>
      <c r="AI2">
        <v>40777151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40777155</v>
      </c>
      <c r="C3">
        <v>40777149</v>
      </c>
      <c r="D3">
        <v>38685363</v>
      </c>
      <c r="E3">
        <v>1</v>
      </c>
      <c r="F3">
        <v>1</v>
      </c>
      <c r="G3">
        <v>1</v>
      </c>
      <c r="H3">
        <v>2</v>
      </c>
      <c r="I3" t="s">
        <v>322</v>
      </c>
      <c r="J3" t="s">
        <v>323</v>
      </c>
      <c r="K3" t="s">
        <v>324</v>
      </c>
      <c r="L3">
        <v>1368</v>
      </c>
      <c r="N3">
        <v>1011</v>
      </c>
      <c r="O3" t="s">
        <v>325</v>
      </c>
      <c r="P3" t="s">
        <v>325</v>
      </c>
      <c r="Q3">
        <v>1</v>
      </c>
      <c r="X3">
        <v>29.5</v>
      </c>
      <c r="Y3">
        <v>0</v>
      </c>
      <c r="Z3">
        <v>136.79</v>
      </c>
      <c r="AA3">
        <v>12.1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29.5</v>
      </c>
      <c r="AH3">
        <v>2</v>
      </c>
      <c r="AI3">
        <v>40777152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ROW(Source!A25)</f>
        <v>25</v>
      </c>
      <c r="B4">
        <v>40777159</v>
      </c>
      <c r="C4">
        <v>40777156</v>
      </c>
      <c r="D4">
        <v>121548</v>
      </c>
      <c r="E4">
        <v>1</v>
      </c>
      <c r="F4">
        <v>1</v>
      </c>
      <c r="G4">
        <v>1</v>
      </c>
      <c r="H4">
        <v>1</v>
      </c>
      <c r="I4" t="s">
        <v>26</v>
      </c>
      <c r="J4" t="s">
        <v>3</v>
      </c>
      <c r="K4" t="s">
        <v>320</v>
      </c>
      <c r="L4">
        <v>608254</v>
      </c>
      <c r="N4">
        <v>1013</v>
      </c>
      <c r="O4" t="s">
        <v>321</v>
      </c>
      <c r="P4" t="s">
        <v>321</v>
      </c>
      <c r="Q4">
        <v>1</v>
      </c>
      <c r="X4">
        <v>8.8699999999999992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>
        <v>2</v>
      </c>
      <c r="AF4" t="s">
        <v>3</v>
      </c>
      <c r="AG4">
        <v>8.8699999999999992</v>
      </c>
      <c r="AH4">
        <v>2</v>
      </c>
      <c r="AI4">
        <v>40777157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ROW(Source!A25)</f>
        <v>25</v>
      </c>
      <c r="B5">
        <v>40777160</v>
      </c>
      <c r="C5">
        <v>40777156</v>
      </c>
      <c r="D5">
        <v>38685434</v>
      </c>
      <c r="E5">
        <v>1</v>
      </c>
      <c r="F5">
        <v>1</v>
      </c>
      <c r="G5">
        <v>1</v>
      </c>
      <c r="H5">
        <v>2</v>
      </c>
      <c r="I5" t="s">
        <v>326</v>
      </c>
      <c r="J5" t="s">
        <v>327</v>
      </c>
      <c r="K5" t="s">
        <v>328</v>
      </c>
      <c r="L5">
        <v>1368</v>
      </c>
      <c r="N5">
        <v>1011</v>
      </c>
      <c r="O5" t="s">
        <v>325</v>
      </c>
      <c r="P5" t="s">
        <v>325</v>
      </c>
      <c r="Q5">
        <v>1</v>
      </c>
      <c r="X5">
        <v>8.8699999999999992</v>
      </c>
      <c r="Y5">
        <v>0</v>
      </c>
      <c r="Z5">
        <v>102.49</v>
      </c>
      <c r="AA5">
        <v>10.35</v>
      </c>
      <c r="AB5">
        <v>0</v>
      </c>
      <c r="AC5">
        <v>0</v>
      </c>
      <c r="AD5">
        <v>1</v>
      </c>
      <c r="AE5">
        <v>0</v>
      </c>
      <c r="AF5" t="s">
        <v>3</v>
      </c>
      <c r="AG5">
        <v>8.8699999999999992</v>
      </c>
      <c r="AH5">
        <v>2</v>
      </c>
      <c r="AI5">
        <v>40777158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ROW(Source!A26)</f>
        <v>26</v>
      </c>
      <c r="B6">
        <v>40777163</v>
      </c>
      <c r="C6">
        <v>40777161</v>
      </c>
      <c r="D6">
        <v>23129555</v>
      </c>
      <c r="E6">
        <v>1</v>
      </c>
      <c r="F6">
        <v>1</v>
      </c>
      <c r="G6">
        <v>1</v>
      </c>
      <c r="H6">
        <v>1</v>
      </c>
      <c r="I6" t="s">
        <v>317</v>
      </c>
      <c r="J6" t="s">
        <v>3</v>
      </c>
      <c r="K6" t="s">
        <v>318</v>
      </c>
      <c r="L6">
        <v>1369</v>
      </c>
      <c r="N6">
        <v>1013</v>
      </c>
      <c r="O6" t="s">
        <v>319</v>
      </c>
      <c r="P6" t="s">
        <v>319</v>
      </c>
      <c r="Q6">
        <v>1</v>
      </c>
      <c r="X6">
        <v>154</v>
      </c>
      <c r="Y6">
        <v>0</v>
      </c>
      <c r="Z6">
        <v>0</v>
      </c>
      <c r="AA6">
        <v>0</v>
      </c>
      <c r="AB6">
        <v>7.29</v>
      </c>
      <c r="AC6">
        <v>0</v>
      </c>
      <c r="AD6">
        <v>1</v>
      </c>
      <c r="AE6">
        <v>1</v>
      </c>
      <c r="AF6" t="s">
        <v>3</v>
      </c>
      <c r="AG6">
        <v>154</v>
      </c>
      <c r="AH6">
        <v>2</v>
      </c>
      <c r="AI6">
        <v>40777162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ROW(Source!A27)</f>
        <v>27</v>
      </c>
      <c r="B7">
        <v>40777166</v>
      </c>
      <c r="C7">
        <v>40777164</v>
      </c>
      <c r="D7">
        <v>23135960</v>
      </c>
      <c r="E7">
        <v>1</v>
      </c>
      <c r="F7">
        <v>1</v>
      </c>
      <c r="G7">
        <v>1</v>
      </c>
      <c r="H7">
        <v>1</v>
      </c>
      <c r="I7" t="s">
        <v>329</v>
      </c>
      <c r="J7" t="s">
        <v>3</v>
      </c>
      <c r="K7" t="s">
        <v>330</v>
      </c>
      <c r="L7">
        <v>1369</v>
      </c>
      <c r="N7">
        <v>1013</v>
      </c>
      <c r="O7" t="s">
        <v>319</v>
      </c>
      <c r="P7" t="s">
        <v>319</v>
      </c>
      <c r="Q7">
        <v>1</v>
      </c>
      <c r="X7">
        <v>97.2</v>
      </c>
      <c r="Y7">
        <v>0</v>
      </c>
      <c r="Z7">
        <v>0</v>
      </c>
      <c r="AA7">
        <v>0</v>
      </c>
      <c r="AB7">
        <v>7.01</v>
      </c>
      <c r="AC7">
        <v>0</v>
      </c>
      <c r="AD7">
        <v>1</v>
      </c>
      <c r="AE7">
        <v>1</v>
      </c>
      <c r="AF7" t="s">
        <v>3</v>
      </c>
      <c r="AG7">
        <v>97.2</v>
      </c>
      <c r="AH7">
        <v>2</v>
      </c>
      <c r="AI7">
        <v>40777165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ROW(Source!A28)</f>
        <v>28</v>
      </c>
      <c r="B8">
        <v>40777172</v>
      </c>
      <c r="C8">
        <v>40777167</v>
      </c>
      <c r="D8">
        <v>23135014</v>
      </c>
      <c r="E8">
        <v>1</v>
      </c>
      <c r="F8">
        <v>1</v>
      </c>
      <c r="G8">
        <v>1</v>
      </c>
      <c r="H8">
        <v>1</v>
      </c>
      <c r="I8" t="s">
        <v>331</v>
      </c>
      <c r="J8" t="s">
        <v>3</v>
      </c>
      <c r="K8" t="s">
        <v>332</v>
      </c>
      <c r="L8">
        <v>1369</v>
      </c>
      <c r="N8">
        <v>1013</v>
      </c>
      <c r="O8" t="s">
        <v>319</v>
      </c>
      <c r="P8" t="s">
        <v>319</v>
      </c>
      <c r="Q8">
        <v>1</v>
      </c>
      <c r="X8">
        <v>133</v>
      </c>
      <c r="Y8">
        <v>0</v>
      </c>
      <c r="Z8">
        <v>0</v>
      </c>
      <c r="AA8">
        <v>0</v>
      </c>
      <c r="AB8">
        <v>7.9</v>
      </c>
      <c r="AC8">
        <v>0</v>
      </c>
      <c r="AD8">
        <v>1</v>
      </c>
      <c r="AE8">
        <v>1</v>
      </c>
      <c r="AF8" t="s">
        <v>3</v>
      </c>
      <c r="AG8">
        <v>133</v>
      </c>
      <c r="AH8">
        <v>2</v>
      </c>
      <c r="AI8">
        <v>40777168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ROW(Source!A28)</f>
        <v>28</v>
      </c>
      <c r="B9">
        <v>40777173</v>
      </c>
      <c r="C9">
        <v>40777167</v>
      </c>
      <c r="D9">
        <v>38620819</v>
      </c>
      <c r="E9">
        <v>1</v>
      </c>
      <c r="F9">
        <v>1</v>
      </c>
      <c r="G9">
        <v>1</v>
      </c>
      <c r="H9">
        <v>3</v>
      </c>
      <c r="I9" t="s">
        <v>333</v>
      </c>
      <c r="J9" t="s">
        <v>334</v>
      </c>
      <c r="K9" t="s">
        <v>335</v>
      </c>
      <c r="L9">
        <v>1348</v>
      </c>
      <c r="N9">
        <v>1009</v>
      </c>
      <c r="O9" t="s">
        <v>119</v>
      </c>
      <c r="P9" t="s">
        <v>119</v>
      </c>
      <c r="Q9">
        <v>1000</v>
      </c>
      <c r="X9">
        <v>8.0000000000000004E-4</v>
      </c>
      <c r="Y9">
        <v>4917.3999999999996</v>
      </c>
      <c r="Z9">
        <v>0</v>
      </c>
      <c r="AA9">
        <v>0</v>
      </c>
      <c r="AB9">
        <v>0</v>
      </c>
      <c r="AC9">
        <v>0</v>
      </c>
      <c r="AD9">
        <v>1</v>
      </c>
      <c r="AE9">
        <v>0</v>
      </c>
      <c r="AF9" t="s">
        <v>19</v>
      </c>
      <c r="AG9">
        <v>0</v>
      </c>
      <c r="AH9">
        <v>2</v>
      </c>
      <c r="AI9">
        <v>40777169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ROW(Source!A28)</f>
        <v>28</v>
      </c>
      <c r="B10">
        <v>40777174</v>
      </c>
      <c r="C10">
        <v>40777167</v>
      </c>
      <c r="D10">
        <v>38628396</v>
      </c>
      <c r="E10">
        <v>1</v>
      </c>
      <c r="F10">
        <v>1</v>
      </c>
      <c r="G10">
        <v>1</v>
      </c>
      <c r="H10">
        <v>3</v>
      </c>
      <c r="I10" t="s">
        <v>336</v>
      </c>
      <c r="J10" t="s">
        <v>337</v>
      </c>
      <c r="K10" t="s">
        <v>338</v>
      </c>
      <c r="L10">
        <v>1339</v>
      </c>
      <c r="N10">
        <v>1007</v>
      </c>
      <c r="O10" t="s">
        <v>339</v>
      </c>
      <c r="P10" t="s">
        <v>339</v>
      </c>
      <c r="Q10">
        <v>1</v>
      </c>
      <c r="X10">
        <v>0.08</v>
      </c>
      <c r="Y10">
        <v>772.77</v>
      </c>
      <c r="Z10">
        <v>0</v>
      </c>
      <c r="AA10">
        <v>0</v>
      </c>
      <c r="AB10">
        <v>0</v>
      </c>
      <c r="AC10">
        <v>0</v>
      </c>
      <c r="AD10">
        <v>1</v>
      </c>
      <c r="AE10">
        <v>0</v>
      </c>
      <c r="AF10" t="s">
        <v>19</v>
      </c>
      <c r="AG10">
        <v>0</v>
      </c>
      <c r="AH10">
        <v>2</v>
      </c>
      <c r="AI10">
        <v>40777170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ROW(Source!A28)</f>
        <v>28</v>
      </c>
      <c r="B11">
        <v>40777175</v>
      </c>
      <c r="C11">
        <v>40777167</v>
      </c>
      <c r="D11">
        <v>38671920</v>
      </c>
      <c r="E11">
        <v>1</v>
      </c>
      <c r="F11">
        <v>1</v>
      </c>
      <c r="G11">
        <v>1</v>
      </c>
      <c r="H11">
        <v>3</v>
      </c>
      <c r="I11" t="s">
        <v>340</v>
      </c>
      <c r="J11" t="s">
        <v>341</v>
      </c>
      <c r="K11" t="s">
        <v>342</v>
      </c>
      <c r="L11">
        <v>1301</v>
      </c>
      <c r="N11">
        <v>1003</v>
      </c>
      <c r="O11" t="s">
        <v>114</v>
      </c>
      <c r="P11" t="s">
        <v>114</v>
      </c>
      <c r="Q11">
        <v>1</v>
      </c>
      <c r="X11">
        <v>1000</v>
      </c>
      <c r="Y11">
        <v>32.299999999999997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0</v>
      </c>
      <c r="AF11" t="s">
        <v>19</v>
      </c>
      <c r="AG11">
        <v>0</v>
      </c>
      <c r="AH11">
        <v>2</v>
      </c>
      <c r="AI11">
        <v>40777171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ROW(Source!A29)</f>
        <v>29</v>
      </c>
      <c r="B12">
        <v>40777182</v>
      </c>
      <c r="C12">
        <v>40777176</v>
      </c>
      <c r="D12">
        <v>23351395</v>
      </c>
      <c r="E12">
        <v>1</v>
      </c>
      <c r="F12">
        <v>1</v>
      </c>
      <c r="G12">
        <v>1</v>
      </c>
      <c r="H12">
        <v>1</v>
      </c>
      <c r="I12" t="s">
        <v>343</v>
      </c>
      <c r="J12" t="s">
        <v>3</v>
      </c>
      <c r="K12" t="s">
        <v>344</v>
      </c>
      <c r="L12">
        <v>1369</v>
      </c>
      <c r="N12">
        <v>1013</v>
      </c>
      <c r="O12" t="s">
        <v>319</v>
      </c>
      <c r="P12" t="s">
        <v>319</v>
      </c>
      <c r="Q12">
        <v>1</v>
      </c>
      <c r="X12">
        <v>0.38</v>
      </c>
      <c r="Y12">
        <v>0</v>
      </c>
      <c r="Z12">
        <v>0</v>
      </c>
      <c r="AA12">
        <v>0</v>
      </c>
      <c r="AB12">
        <v>8.99</v>
      </c>
      <c r="AC12">
        <v>0</v>
      </c>
      <c r="AD12">
        <v>1</v>
      </c>
      <c r="AE12">
        <v>1</v>
      </c>
      <c r="AF12" t="s">
        <v>3</v>
      </c>
      <c r="AG12">
        <v>0.38</v>
      </c>
      <c r="AH12">
        <v>2</v>
      </c>
      <c r="AI12">
        <v>40777177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ROW(Source!A29)</f>
        <v>29</v>
      </c>
      <c r="B13">
        <v>40777183</v>
      </c>
      <c r="C13">
        <v>40777176</v>
      </c>
      <c r="D13">
        <v>38621254</v>
      </c>
      <c r="E13">
        <v>1</v>
      </c>
      <c r="F13">
        <v>1</v>
      </c>
      <c r="G13">
        <v>1</v>
      </c>
      <c r="H13">
        <v>3</v>
      </c>
      <c r="I13" t="s">
        <v>345</v>
      </c>
      <c r="J13" t="s">
        <v>346</v>
      </c>
      <c r="K13" t="s">
        <v>347</v>
      </c>
      <c r="L13">
        <v>1346</v>
      </c>
      <c r="N13">
        <v>1009</v>
      </c>
      <c r="O13" t="s">
        <v>141</v>
      </c>
      <c r="P13" t="s">
        <v>141</v>
      </c>
      <c r="Q13">
        <v>1</v>
      </c>
      <c r="X13">
        <v>0.15</v>
      </c>
      <c r="Y13">
        <v>9.0399999999999991</v>
      </c>
      <c r="Z13">
        <v>0</v>
      </c>
      <c r="AA13">
        <v>0</v>
      </c>
      <c r="AB13">
        <v>0</v>
      </c>
      <c r="AC13">
        <v>0</v>
      </c>
      <c r="AD13">
        <v>1</v>
      </c>
      <c r="AE13">
        <v>0</v>
      </c>
      <c r="AF13" t="s">
        <v>19</v>
      </c>
      <c r="AG13">
        <v>0</v>
      </c>
      <c r="AH13">
        <v>2</v>
      </c>
      <c r="AI13">
        <v>40777178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ROW(Source!A29)</f>
        <v>29</v>
      </c>
      <c r="B14">
        <v>40777184</v>
      </c>
      <c r="C14">
        <v>40777176</v>
      </c>
      <c r="D14">
        <v>38684318</v>
      </c>
      <c r="E14">
        <v>1</v>
      </c>
      <c r="F14">
        <v>1</v>
      </c>
      <c r="G14">
        <v>1</v>
      </c>
      <c r="H14">
        <v>3</v>
      </c>
      <c r="I14" t="s">
        <v>348</v>
      </c>
      <c r="J14" t="s">
        <v>349</v>
      </c>
      <c r="K14" t="s">
        <v>350</v>
      </c>
      <c r="L14">
        <v>1346</v>
      </c>
      <c r="N14">
        <v>1009</v>
      </c>
      <c r="O14" t="s">
        <v>141</v>
      </c>
      <c r="P14" t="s">
        <v>141</v>
      </c>
      <c r="Q14">
        <v>1</v>
      </c>
      <c r="X14">
        <v>0.72</v>
      </c>
      <c r="Y14">
        <v>16.940000000000001</v>
      </c>
      <c r="Z14">
        <v>0</v>
      </c>
      <c r="AA14">
        <v>0</v>
      </c>
      <c r="AB14">
        <v>0</v>
      </c>
      <c r="AC14">
        <v>0</v>
      </c>
      <c r="AD14">
        <v>1</v>
      </c>
      <c r="AE14">
        <v>0</v>
      </c>
      <c r="AF14" t="s">
        <v>19</v>
      </c>
      <c r="AG14">
        <v>0</v>
      </c>
      <c r="AH14">
        <v>2</v>
      </c>
      <c r="AI14">
        <v>40777179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ROW(Source!A29)</f>
        <v>29</v>
      </c>
      <c r="B15">
        <v>40777185</v>
      </c>
      <c r="C15">
        <v>40777176</v>
      </c>
      <c r="D15">
        <v>38684434</v>
      </c>
      <c r="E15">
        <v>1</v>
      </c>
      <c r="F15">
        <v>1</v>
      </c>
      <c r="G15">
        <v>1</v>
      </c>
      <c r="H15">
        <v>3</v>
      </c>
      <c r="I15" t="s">
        <v>351</v>
      </c>
      <c r="J15" t="s">
        <v>352</v>
      </c>
      <c r="K15" t="s">
        <v>353</v>
      </c>
      <c r="L15">
        <v>1348</v>
      </c>
      <c r="N15">
        <v>1009</v>
      </c>
      <c r="O15" t="s">
        <v>119</v>
      </c>
      <c r="P15" t="s">
        <v>119</v>
      </c>
      <c r="Q15">
        <v>1000</v>
      </c>
      <c r="X15">
        <v>6.0000000000000002E-5</v>
      </c>
      <c r="Y15">
        <v>27354.25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0</v>
      </c>
      <c r="AF15" t="s">
        <v>19</v>
      </c>
      <c r="AG15">
        <v>0</v>
      </c>
      <c r="AH15">
        <v>2</v>
      </c>
      <c r="AI15">
        <v>40777180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ROW(Source!A29)</f>
        <v>29</v>
      </c>
      <c r="B16">
        <v>40777186</v>
      </c>
      <c r="C16">
        <v>40777176</v>
      </c>
      <c r="D16">
        <v>38684560</v>
      </c>
      <c r="E16">
        <v>1</v>
      </c>
      <c r="F16">
        <v>1</v>
      </c>
      <c r="G16">
        <v>1</v>
      </c>
      <c r="H16">
        <v>3</v>
      </c>
      <c r="I16" t="s">
        <v>354</v>
      </c>
      <c r="J16" t="s">
        <v>355</v>
      </c>
      <c r="K16" t="s">
        <v>356</v>
      </c>
      <c r="L16">
        <v>1374</v>
      </c>
      <c r="N16">
        <v>1013</v>
      </c>
      <c r="O16" t="s">
        <v>357</v>
      </c>
      <c r="P16" t="s">
        <v>357</v>
      </c>
      <c r="Q16">
        <v>1</v>
      </c>
      <c r="X16">
        <v>7.0000000000000007E-2</v>
      </c>
      <c r="Y16">
        <v>1</v>
      </c>
      <c r="Z16">
        <v>0</v>
      </c>
      <c r="AA16">
        <v>0</v>
      </c>
      <c r="AB16">
        <v>0</v>
      </c>
      <c r="AC16">
        <v>0</v>
      </c>
      <c r="AD16">
        <v>1</v>
      </c>
      <c r="AE16">
        <v>0</v>
      </c>
      <c r="AF16" t="s">
        <v>19</v>
      </c>
      <c r="AG16">
        <v>0</v>
      </c>
      <c r="AH16">
        <v>2</v>
      </c>
      <c r="AI16">
        <v>40777181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ROW(Source!A30)</f>
        <v>30</v>
      </c>
      <c r="B17">
        <v>40777198</v>
      </c>
      <c r="C17">
        <v>40777187</v>
      </c>
      <c r="D17">
        <v>23351395</v>
      </c>
      <c r="E17">
        <v>1</v>
      </c>
      <c r="F17">
        <v>1</v>
      </c>
      <c r="G17">
        <v>1</v>
      </c>
      <c r="H17">
        <v>1</v>
      </c>
      <c r="I17" t="s">
        <v>343</v>
      </c>
      <c r="J17" t="s">
        <v>3</v>
      </c>
      <c r="K17" t="s">
        <v>344</v>
      </c>
      <c r="L17">
        <v>1369</v>
      </c>
      <c r="N17">
        <v>1013</v>
      </c>
      <c r="O17" t="s">
        <v>319</v>
      </c>
      <c r="P17" t="s">
        <v>319</v>
      </c>
      <c r="Q17">
        <v>1</v>
      </c>
      <c r="X17">
        <v>23.04</v>
      </c>
      <c r="Y17">
        <v>0</v>
      </c>
      <c r="Z17">
        <v>0</v>
      </c>
      <c r="AA17">
        <v>0</v>
      </c>
      <c r="AB17">
        <v>8.99</v>
      </c>
      <c r="AC17">
        <v>0</v>
      </c>
      <c r="AD17">
        <v>1</v>
      </c>
      <c r="AE17">
        <v>1</v>
      </c>
      <c r="AF17" t="s">
        <v>3</v>
      </c>
      <c r="AG17">
        <v>23.04</v>
      </c>
      <c r="AH17">
        <v>2</v>
      </c>
      <c r="AI17">
        <v>40777188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ROW(Source!A30)</f>
        <v>30</v>
      </c>
      <c r="B18">
        <v>40777199</v>
      </c>
      <c r="C18">
        <v>40777187</v>
      </c>
      <c r="D18">
        <v>121548</v>
      </c>
      <c r="E18">
        <v>1</v>
      </c>
      <c r="F18">
        <v>1</v>
      </c>
      <c r="G18">
        <v>1</v>
      </c>
      <c r="H18">
        <v>1</v>
      </c>
      <c r="I18" t="s">
        <v>26</v>
      </c>
      <c r="J18" t="s">
        <v>3</v>
      </c>
      <c r="K18" t="s">
        <v>320</v>
      </c>
      <c r="L18">
        <v>608254</v>
      </c>
      <c r="N18">
        <v>1013</v>
      </c>
      <c r="O18" t="s">
        <v>321</v>
      </c>
      <c r="P18" t="s">
        <v>321</v>
      </c>
      <c r="Q18">
        <v>1</v>
      </c>
      <c r="X18">
        <v>0.2</v>
      </c>
      <c r="Y18">
        <v>0</v>
      </c>
      <c r="Z18">
        <v>0</v>
      </c>
      <c r="AA18">
        <v>0</v>
      </c>
      <c r="AB18">
        <v>0</v>
      </c>
      <c r="AC18">
        <v>0</v>
      </c>
      <c r="AD18">
        <v>1</v>
      </c>
      <c r="AE18">
        <v>2</v>
      </c>
      <c r="AF18" t="s">
        <v>3</v>
      </c>
      <c r="AG18">
        <v>0.2</v>
      </c>
      <c r="AH18">
        <v>2</v>
      </c>
      <c r="AI18">
        <v>40777189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ROW(Source!A30)</f>
        <v>30</v>
      </c>
      <c r="B19">
        <v>40777200</v>
      </c>
      <c r="C19">
        <v>40777187</v>
      </c>
      <c r="D19">
        <v>38685072</v>
      </c>
      <c r="E19">
        <v>1</v>
      </c>
      <c r="F19">
        <v>1</v>
      </c>
      <c r="G19">
        <v>1</v>
      </c>
      <c r="H19">
        <v>2</v>
      </c>
      <c r="I19" t="s">
        <v>358</v>
      </c>
      <c r="J19" t="s">
        <v>359</v>
      </c>
      <c r="K19" t="s">
        <v>360</v>
      </c>
      <c r="L19">
        <v>1368</v>
      </c>
      <c r="N19">
        <v>1011</v>
      </c>
      <c r="O19" t="s">
        <v>325</v>
      </c>
      <c r="P19" t="s">
        <v>325</v>
      </c>
      <c r="Q19">
        <v>1</v>
      </c>
      <c r="X19">
        <v>0.2</v>
      </c>
      <c r="Y19">
        <v>0</v>
      </c>
      <c r="Z19">
        <v>138.54</v>
      </c>
      <c r="AA19">
        <v>12.1</v>
      </c>
      <c r="AB19">
        <v>0</v>
      </c>
      <c r="AC19">
        <v>0</v>
      </c>
      <c r="AD19">
        <v>1</v>
      </c>
      <c r="AE19">
        <v>0</v>
      </c>
      <c r="AF19" t="s">
        <v>3</v>
      </c>
      <c r="AG19">
        <v>0.2</v>
      </c>
      <c r="AH19">
        <v>2</v>
      </c>
      <c r="AI19">
        <v>40777190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ROW(Source!A30)</f>
        <v>30</v>
      </c>
      <c r="B20">
        <v>40777201</v>
      </c>
      <c r="C20">
        <v>40777187</v>
      </c>
      <c r="D20">
        <v>38685168</v>
      </c>
      <c r="E20">
        <v>1</v>
      </c>
      <c r="F20">
        <v>1</v>
      </c>
      <c r="G20">
        <v>1</v>
      </c>
      <c r="H20">
        <v>2</v>
      </c>
      <c r="I20" t="s">
        <v>361</v>
      </c>
      <c r="J20" t="s">
        <v>362</v>
      </c>
      <c r="K20" t="s">
        <v>363</v>
      </c>
      <c r="L20">
        <v>1368</v>
      </c>
      <c r="N20">
        <v>1011</v>
      </c>
      <c r="O20" t="s">
        <v>325</v>
      </c>
      <c r="P20" t="s">
        <v>325</v>
      </c>
      <c r="Q20">
        <v>1</v>
      </c>
      <c r="X20">
        <v>5.14</v>
      </c>
      <c r="Y20">
        <v>0</v>
      </c>
      <c r="Z20">
        <v>1.52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5.14</v>
      </c>
      <c r="AH20">
        <v>2</v>
      </c>
      <c r="AI20">
        <v>40777191</v>
      </c>
      <c r="AJ20">
        <v>20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</row>
    <row r="21" spans="1:44" x14ac:dyDescent="0.2">
      <c r="A21">
        <f>ROW(Source!A30)</f>
        <v>30</v>
      </c>
      <c r="B21">
        <v>40777202</v>
      </c>
      <c r="C21">
        <v>40777187</v>
      </c>
      <c r="D21">
        <v>38685182</v>
      </c>
      <c r="E21">
        <v>1</v>
      </c>
      <c r="F21">
        <v>1</v>
      </c>
      <c r="G21">
        <v>1</v>
      </c>
      <c r="H21">
        <v>2</v>
      </c>
      <c r="I21" t="s">
        <v>364</v>
      </c>
      <c r="J21" t="s">
        <v>365</v>
      </c>
      <c r="K21" t="s">
        <v>366</v>
      </c>
      <c r="L21">
        <v>1368</v>
      </c>
      <c r="N21">
        <v>1011</v>
      </c>
      <c r="O21" t="s">
        <v>325</v>
      </c>
      <c r="P21" t="s">
        <v>325</v>
      </c>
      <c r="Q21">
        <v>1</v>
      </c>
      <c r="X21">
        <v>5.14</v>
      </c>
      <c r="Y21">
        <v>0</v>
      </c>
      <c r="Z21">
        <v>7.11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5.14</v>
      </c>
      <c r="AH21">
        <v>2</v>
      </c>
      <c r="AI21">
        <v>40777192</v>
      </c>
      <c r="AJ21">
        <v>21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</row>
    <row r="22" spans="1:44" x14ac:dyDescent="0.2">
      <c r="A22">
        <f>ROW(Source!A30)</f>
        <v>30</v>
      </c>
      <c r="B22">
        <v>40777203</v>
      </c>
      <c r="C22">
        <v>40777187</v>
      </c>
      <c r="D22">
        <v>38686926</v>
      </c>
      <c r="E22">
        <v>1</v>
      </c>
      <c r="F22">
        <v>1</v>
      </c>
      <c r="G22">
        <v>1</v>
      </c>
      <c r="H22">
        <v>2</v>
      </c>
      <c r="I22" t="s">
        <v>367</v>
      </c>
      <c r="J22" t="s">
        <v>368</v>
      </c>
      <c r="K22" t="s">
        <v>369</v>
      </c>
      <c r="L22">
        <v>1368</v>
      </c>
      <c r="N22">
        <v>1011</v>
      </c>
      <c r="O22" t="s">
        <v>325</v>
      </c>
      <c r="P22" t="s">
        <v>325</v>
      </c>
      <c r="Q22">
        <v>1</v>
      </c>
      <c r="X22">
        <v>0.2</v>
      </c>
      <c r="Y22">
        <v>0</v>
      </c>
      <c r="Z22">
        <v>91.76</v>
      </c>
      <c r="AA22">
        <v>10.35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0.2</v>
      </c>
      <c r="AH22">
        <v>2</v>
      </c>
      <c r="AI22">
        <v>40777193</v>
      </c>
      <c r="AJ22">
        <v>22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</row>
    <row r="23" spans="1:44" x14ac:dyDescent="0.2">
      <c r="A23">
        <f>ROW(Source!A30)</f>
        <v>30</v>
      </c>
      <c r="B23">
        <v>40777204</v>
      </c>
      <c r="C23">
        <v>40777187</v>
      </c>
      <c r="D23">
        <v>38623941</v>
      </c>
      <c r="E23">
        <v>1</v>
      </c>
      <c r="F23">
        <v>1</v>
      </c>
      <c r="G23">
        <v>1</v>
      </c>
      <c r="H23">
        <v>3</v>
      </c>
      <c r="I23" t="s">
        <v>370</v>
      </c>
      <c r="J23" t="s">
        <v>371</v>
      </c>
      <c r="K23" t="s">
        <v>372</v>
      </c>
      <c r="L23">
        <v>1308</v>
      </c>
      <c r="N23">
        <v>1003</v>
      </c>
      <c r="O23" t="s">
        <v>373</v>
      </c>
      <c r="P23" t="s">
        <v>373</v>
      </c>
      <c r="Q23">
        <v>100</v>
      </c>
      <c r="X23">
        <v>9.5999999999999992E-3</v>
      </c>
      <c r="Y23">
        <v>121.8</v>
      </c>
      <c r="Z23">
        <v>0</v>
      </c>
      <c r="AA23">
        <v>0</v>
      </c>
      <c r="AB23">
        <v>0</v>
      </c>
      <c r="AC23">
        <v>0</v>
      </c>
      <c r="AD23">
        <v>1</v>
      </c>
      <c r="AE23">
        <v>0</v>
      </c>
      <c r="AF23" t="s">
        <v>19</v>
      </c>
      <c r="AG23">
        <v>0</v>
      </c>
      <c r="AH23">
        <v>2</v>
      </c>
      <c r="AI23">
        <v>40777194</v>
      </c>
      <c r="AJ23">
        <v>23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ROW(Source!A30)</f>
        <v>30</v>
      </c>
      <c r="B24">
        <v>40777205</v>
      </c>
      <c r="C24">
        <v>40777187</v>
      </c>
      <c r="D24">
        <v>38634896</v>
      </c>
      <c r="E24">
        <v>1</v>
      </c>
      <c r="F24">
        <v>1</v>
      </c>
      <c r="G24">
        <v>1</v>
      </c>
      <c r="H24">
        <v>3</v>
      </c>
      <c r="I24" t="s">
        <v>374</v>
      </c>
      <c r="J24" t="s">
        <v>375</v>
      </c>
      <c r="K24" t="s">
        <v>376</v>
      </c>
      <c r="L24">
        <v>1348</v>
      </c>
      <c r="N24">
        <v>1009</v>
      </c>
      <c r="O24" t="s">
        <v>119</v>
      </c>
      <c r="P24" t="s">
        <v>119</v>
      </c>
      <c r="Q24">
        <v>1000</v>
      </c>
      <c r="X24">
        <v>6.0000000000000002E-5</v>
      </c>
      <c r="Y24">
        <v>9528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19</v>
      </c>
      <c r="AG24">
        <v>0</v>
      </c>
      <c r="AH24">
        <v>2</v>
      </c>
      <c r="AI24">
        <v>40777195</v>
      </c>
      <c r="AJ24">
        <v>24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</row>
    <row r="25" spans="1:44" x14ac:dyDescent="0.2">
      <c r="A25">
        <f>ROW(Source!A30)</f>
        <v>30</v>
      </c>
      <c r="B25">
        <v>40777206</v>
      </c>
      <c r="C25">
        <v>40777187</v>
      </c>
      <c r="D25">
        <v>38671537</v>
      </c>
      <c r="E25">
        <v>1</v>
      </c>
      <c r="F25">
        <v>1</v>
      </c>
      <c r="G25">
        <v>1</v>
      </c>
      <c r="H25">
        <v>3</v>
      </c>
      <c r="I25" t="s">
        <v>377</v>
      </c>
      <c r="J25" t="s">
        <v>378</v>
      </c>
      <c r="K25" t="s">
        <v>379</v>
      </c>
      <c r="L25">
        <v>1346</v>
      </c>
      <c r="N25">
        <v>1009</v>
      </c>
      <c r="O25" t="s">
        <v>141</v>
      </c>
      <c r="P25" t="s">
        <v>141</v>
      </c>
      <c r="Q25">
        <v>1</v>
      </c>
      <c r="X25">
        <v>0.5</v>
      </c>
      <c r="Y25">
        <v>71.45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19</v>
      </c>
      <c r="AG25">
        <v>0</v>
      </c>
      <c r="AH25">
        <v>2</v>
      </c>
      <c r="AI25">
        <v>40777196</v>
      </c>
      <c r="AJ25">
        <v>25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</row>
    <row r="26" spans="1:44" x14ac:dyDescent="0.2">
      <c r="A26">
        <f>ROW(Source!A30)</f>
        <v>30</v>
      </c>
      <c r="B26">
        <v>40777207</v>
      </c>
      <c r="C26">
        <v>40777187</v>
      </c>
      <c r="D26">
        <v>38684560</v>
      </c>
      <c r="E26">
        <v>1</v>
      </c>
      <c r="F26">
        <v>1</v>
      </c>
      <c r="G26">
        <v>1</v>
      </c>
      <c r="H26">
        <v>3</v>
      </c>
      <c r="I26" t="s">
        <v>354</v>
      </c>
      <c r="J26" t="s">
        <v>355</v>
      </c>
      <c r="K26" t="s">
        <v>356</v>
      </c>
      <c r="L26">
        <v>1374</v>
      </c>
      <c r="N26">
        <v>1013</v>
      </c>
      <c r="O26" t="s">
        <v>357</v>
      </c>
      <c r="P26" t="s">
        <v>357</v>
      </c>
      <c r="Q26">
        <v>1</v>
      </c>
      <c r="X26">
        <v>4.1399999999999997</v>
      </c>
      <c r="Y26">
        <v>1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19</v>
      </c>
      <c r="AG26">
        <v>0</v>
      </c>
      <c r="AH26">
        <v>2</v>
      </c>
      <c r="AI26">
        <v>40777197</v>
      </c>
      <c r="AJ26">
        <v>26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</row>
    <row r="27" spans="1:44" x14ac:dyDescent="0.2">
      <c r="A27">
        <f>ROW(Source!A31)</f>
        <v>31</v>
      </c>
      <c r="B27">
        <v>40777212</v>
      </c>
      <c r="C27">
        <v>40777208</v>
      </c>
      <c r="D27">
        <v>23351395</v>
      </c>
      <c r="E27">
        <v>1</v>
      </c>
      <c r="F27">
        <v>1</v>
      </c>
      <c r="G27">
        <v>1</v>
      </c>
      <c r="H27">
        <v>1</v>
      </c>
      <c r="I27" t="s">
        <v>343</v>
      </c>
      <c r="J27" t="s">
        <v>3</v>
      </c>
      <c r="K27" t="s">
        <v>344</v>
      </c>
      <c r="L27">
        <v>1369</v>
      </c>
      <c r="N27">
        <v>1013</v>
      </c>
      <c r="O27" t="s">
        <v>319</v>
      </c>
      <c r="P27" t="s">
        <v>319</v>
      </c>
      <c r="Q27">
        <v>1</v>
      </c>
      <c r="X27">
        <v>5.3</v>
      </c>
      <c r="Y27">
        <v>0</v>
      </c>
      <c r="Z27">
        <v>0</v>
      </c>
      <c r="AA27">
        <v>0</v>
      </c>
      <c r="AB27">
        <v>8.99</v>
      </c>
      <c r="AC27">
        <v>0</v>
      </c>
      <c r="AD27">
        <v>1</v>
      </c>
      <c r="AE27">
        <v>1</v>
      </c>
      <c r="AF27" t="s">
        <v>3</v>
      </c>
      <c r="AG27">
        <v>5.3</v>
      </c>
      <c r="AH27">
        <v>2</v>
      </c>
      <c r="AI27">
        <v>40777209</v>
      </c>
      <c r="AJ27">
        <v>27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ROW(Source!A31)</f>
        <v>31</v>
      </c>
      <c r="B28">
        <v>40777213</v>
      </c>
      <c r="C28">
        <v>40777208</v>
      </c>
      <c r="D28">
        <v>38686926</v>
      </c>
      <c r="E28">
        <v>1</v>
      </c>
      <c r="F28">
        <v>1</v>
      </c>
      <c r="G28">
        <v>1</v>
      </c>
      <c r="H28">
        <v>2</v>
      </c>
      <c r="I28" t="s">
        <v>367</v>
      </c>
      <c r="J28" t="s">
        <v>368</v>
      </c>
      <c r="K28" t="s">
        <v>369</v>
      </c>
      <c r="L28">
        <v>1368</v>
      </c>
      <c r="N28">
        <v>1011</v>
      </c>
      <c r="O28" t="s">
        <v>325</v>
      </c>
      <c r="P28" t="s">
        <v>325</v>
      </c>
      <c r="Q28">
        <v>1</v>
      </c>
      <c r="X28">
        <v>3.9</v>
      </c>
      <c r="Y28">
        <v>0</v>
      </c>
      <c r="Z28">
        <v>91.76</v>
      </c>
      <c r="AA28">
        <v>10.35</v>
      </c>
      <c r="AB28">
        <v>0</v>
      </c>
      <c r="AC28">
        <v>0</v>
      </c>
      <c r="AD28">
        <v>1</v>
      </c>
      <c r="AE28">
        <v>0</v>
      </c>
      <c r="AF28" t="s">
        <v>3</v>
      </c>
      <c r="AG28">
        <v>3.9</v>
      </c>
      <c r="AH28">
        <v>2</v>
      </c>
      <c r="AI28">
        <v>40777210</v>
      </c>
      <c r="AJ28">
        <v>28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ROW(Source!A31)</f>
        <v>31</v>
      </c>
      <c r="B29">
        <v>40777214</v>
      </c>
      <c r="C29">
        <v>40777208</v>
      </c>
      <c r="D29">
        <v>38684560</v>
      </c>
      <c r="E29">
        <v>1</v>
      </c>
      <c r="F29">
        <v>1</v>
      </c>
      <c r="G29">
        <v>1</v>
      </c>
      <c r="H29">
        <v>3</v>
      </c>
      <c r="I29" t="s">
        <v>354</v>
      </c>
      <c r="J29" t="s">
        <v>355</v>
      </c>
      <c r="K29" t="s">
        <v>356</v>
      </c>
      <c r="L29">
        <v>1374</v>
      </c>
      <c r="N29">
        <v>1013</v>
      </c>
      <c r="O29" t="s">
        <v>357</v>
      </c>
      <c r="P29" t="s">
        <v>357</v>
      </c>
      <c r="Q29">
        <v>1</v>
      </c>
      <c r="X29">
        <v>0.95</v>
      </c>
      <c r="Y29">
        <v>1</v>
      </c>
      <c r="Z29">
        <v>0</v>
      </c>
      <c r="AA29">
        <v>0</v>
      </c>
      <c r="AB29">
        <v>0</v>
      </c>
      <c r="AC29">
        <v>0</v>
      </c>
      <c r="AD29">
        <v>1</v>
      </c>
      <c r="AE29">
        <v>0</v>
      </c>
      <c r="AF29" t="s">
        <v>19</v>
      </c>
      <c r="AG29">
        <v>0</v>
      </c>
      <c r="AH29">
        <v>2</v>
      </c>
      <c r="AI29">
        <v>40777211</v>
      </c>
      <c r="AJ29">
        <v>29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ROW(Source!A32)</f>
        <v>32</v>
      </c>
      <c r="B30">
        <v>40777219</v>
      </c>
      <c r="C30">
        <v>40777215</v>
      </c>
      <c r="D30">
        <v>23351395</v>
      </c>
      <c r="E30">
        <v>1</v>
      </c>
      <c r="F30">
        <v>1</v>
      </c>
      <c r="G30">
        <v>1</v>
      </c>
      <c r="H30">
        <v>1</v>
      </c>
      <c r="I30" t="s">
        <v>343</v>
      </c>
      <c r="J30" t="s">
        <v>3</v>
      </c>
      <c r="K30" t="s">
        <v>344</v>
      </c>
      <c r="L30">
        <v>1369</v>
      </c>
      <c r="N30">
        <v>1013</v>
      </c>
      <c r="O30" t="s">
        <v>319</v>
      </c>
      <c r="P30" t="s">
        <v>319</v>
      </c>
      <c r="Q30">
        <v>1</v>
      </c>
      <c r="X30">
        <v>1.99</v>
      </c>
      <c r="Y30">
        <v>0</v>
      </c>
      <c r="Z30">
        <v>0</v>
      </c>
      <c r="AA30">
        <v>0</v>
      </c>
      <c r="AB30">
        <v>8.99</v>
      </c>
      <c r="AC30">
        <v>0</v>
      </c>
      <c r="AD30">
        <v>1</v>
      </c>
      <c r="AE30">
        <v>1</v>
      </c>
      <c r="AF30" t="s">
        <v>3</v>
      </c>
      <c r="AG30">
        <v>1.99</v>
      </c>
      <c r="AH30">
        <v>2</v>
      </c>
      <c r="AI30">
        <v>40777216</v>
      </c>
      <c r="AJ30">
        <v>30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</row>
    <row r="31" spans="1:44" x14ac:dyDescent="0.2">
      <c r="A31">
        <f>ROW(Source!A32)</f>
        <v>32</v>
      </c>
      <c r="B31">
        <v>40777220</v>
      </c>
      <c r="C31">
        <v>40777215</v>
      </c>
      <c r="D31">
        <v>38686926</v>
      </c>
      <c r="E31">
        <v>1</v>
      </c>
      <c r="F31">
        <v>1</v>
      </c>
      <c r="G31">
        <v>1</v>
      </c>
      <c r="H31">
        <v>2</v>
      </c>
      <c r="I31" t="s">
        <v>367</v>
      </c>
      <c r="J31" t="s">
        <v>368</v>
      </c>
      <c r="K31" t="s">
        <v>369</v>
      </c>
      <c r="L31">
        <v>1368</v>
      </c>
      <c r="N31">
        <v>1011</v>
      </c>
      <c r="O31" t="s">
        <v>325</v>
      </c>
      <c r="P31" t="s">
        <v>325</v>
      </c>
      <c r="Q31">
        <v>1</v>
      </c>
      <c r="X31">
        <v>0.08</v>
      </c>
      <c r="Y31">
        <v>0</v>
      </c>
      <c r="Z31">
        <v>91.76</v>
      </c>
      <c r="AA31">
        <v>10.35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0.08</v>
      </c>
      <c r="AH31">
        <v>2</v>
      </c>
      <c r="AI31">
        <v>40777217</v>
      </c>
      <c r="AJ31">
        <v>31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</row>
    <row r="32" spans="1:44" x14ac:dyDescent="0.2">
      <c r="A32">
        <f>ROW(Source!A32)</f>
        <v>32</v>
      </c>
      <c r="B32">
        <v>40777221</v>
      </c>
      <c r="C32">
        <v>40777215</v>
      </c>
      <c r="D32">
        <v>38684560</v>
      </c>
      <c r="E32">
        <v>1</v>
      </c>
      <c r="F32">
        <v>1</v>
      </c>
      <c r="G32">
        <v>1</v>
      </c>
      <c r="H32">
        <v>3</v>
      </c>
      <c r="I32" t="s">
        <v>354</v>
      </c>
      <c r="J32" t="s">
        <v>355</v>
      </c>
      <c r="K32" t="s">
        <v>356</v>
      </c>
      <c r="L32">
        <v>1374</v>
      </c>
      <c r="N32">
        <v>1013</v>
      </c>
      <c r="O32" t="s">
        <v>357</v>
      </c>
      <c r="P32" t="s">
        <v>357</v>
      </c>
      <c r="Q32">
        <v>1</v>
      </c>
      <c r="X32">
        <v>0.36</v>
      </c>
      <c r="Y32">
        <v>1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19</v>
      </c>
      <c r="AG32">
        <v>0</v>
      </c>
      <c r="AH32">
        <v>2</v>
      </c>
      <c r="AI32">
        <v>40777218</v>
      </c>
      <c r="AJ32">
        <v>32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</row>
    <row r="33" spans="1:44" x14ac:dyDescent="0.2">
      <c r="A33">
        <f>ROW(Source!A33)</f>
        <v>33</v>
      </c>
      <c r="B33">
        <v>40777235</v>
      </c>
      <c r="C33">
        <v>40777222</v>
      </c>
      <c r="D33">
        <v>23351395</v>
      </c>
      <c r="E33">
        <v>1</v>
      </c>
      <c r="F33">
        <v>1</v>
      </c>
      <c r="G33">
        <v>1</v>
      </c>
      <c r="H33">
        <v>1</v>
      </c>
      <c r="I33" t="s">
        <v>343</v>
      </c>
      <c r="J33" t="s">
        <v>3</v>
      </c>
      <c r="K33" t="s">
        <v>344</v>
      </c>
      <c r="L33">
        <v>1369</v>
      </c>
      <c r="N33">
        <v>1013</v>
      </c>
      <c r="O33" t="s">
        <v>319</v>
      </c>
      <c r="P33" t="s">
        <v>319</v>
      </c>
      <c r="Q33">
        <v>1</v>
      </c>
      <c r="X33">
        <v>17.440000000000001</v>
      </c>
      <c r="Y33">
        <v>0</v>
      </c>
      <c r="Z33">
        <v>0</v>
      </c>
      <c r="AA33">
        <v>0</v>
      </c>
      <c r="AB33">
        <v>8.99</v>
      </c>
      <c r="AC33">
        <v>0</v>
      </c>
      <c r="AD33">
        <v>1</v>
      </c>
      <c r="AE33">
        <v>1</v>
      </c>
      <c r="AF33" t="s">
        <v>3</v>
      </c>
      <c r="AG33">
        <v>17.440000000000001</v>
      </c>
      <c r="AH33">
        <v>2</v>
      </c>
      <c r="AI33">
        <v>40777223</v>
      </c>
      <c r="AJ33">
        <v>33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</row>
    <row r="34" spans="1:44" x14ac:dyDescent="0.2">
      <c r="A34">
        <f>ROW(Source!A33)</f>
        <v>33</v>
      </c>
      <c r="B34">
        <v>40777236</v>
      </c>
      <c r="C34">
        <v>40777222</v>
      </c>
      <c r="D34">
        <v>121548</v>
      </c>
      <c r="E34">
        <v>1</v>
      </c>
      <c r="F34">
        <v>1</v>
      </c>
      <c r="G34">
        <v>1</v>
      </c>
      <c r="H34">
        <v>1</v>
      </c>
      <c r="I34" t="s">
        <v>26</v>
      </c>
      <c r="J34" t="s">
        <v>3</v>
      </c>
      <c r="K34" t="s">
        <v>320</v>
      </c>
      <c r="L34">
        <v>608254</v>
      </c>
      <c r="N34">
        <v>1013</v>
      </c>
      <c r="O34" t="s">
        <v>321</v>
      </c>
      <c r="P34" t="s">
        <v>321</v>
      </c>
      <c r="Q34">
        <v>1</v>
      </c>
      <c r="X34">
        <v>1.32</v>
      </c>
      <c r="Y34">
        <v>0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2</v>
      </c>
      <c r="AF34" t="s">
        <v>3</v>
      </c>
      <c r="AG34">
        <v>1.32</v>
      </c>
      <c r="AH34">
        <v>2</v>
      </c>
      <c r="AI34">
        <v>40777224</v>
      </c>
      <c r="AJ34">
        <v>34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</row>
    <row r="35" spans="1:44" x14ac:dyDescent="0.2">
      <c r="A35">
        <f>ROW(Source!A33)</f>
        <v>33</v>
      </c>
      <c r="B35">
        <v>40777237</v>
      </c>
      <c r="C35">
        <v>40777222</v>
      </c>
      <c r="D35">
        <v>38685072</v>
      </c>
      <c r="E35">
        <v>1</v>
      </c>
      <c r="F35">
        <v>1</v>
      </c>
      <c r="G35">
        <v>1</v>
      </c>
      <c r="H35">
        <v>2</v>
      </c>
      <c r="I35" t="s">
        <v>358</v>
      </c>
      <c r="J35" t="s">
        <v>359</v>
      </c>
      <c r="K35" t="s">
        <v>360</v>
      </c>
      <c r="L35">
        <v>1368</v>
      </c>
      <c r="N35">
        <v>1011</v>
      </c>
      <c r="O35" t="s">
        <v>325</v>
      </c>
      <c r="P35" t="s">
        <v>325</v>
      </c>
      <c r="Q35">
        <v>1</v>
      </c>
      <c r="X35">
        <v>1.32</v>
      </c>
      <c r="Y35">
        <v>0</v>
      </c>
      <c r="Z35">
        <v>138.54</v>
      </c>
      <c r="AA35">
        <v>12.1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1.32</v>
      </c>
      <c r="AH35">
        <v>2</v>
      </c>
      <c r="AI35">
        <v>40777225</v>
      </c>
      <c r="AJ35">
        <v>35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</row>
    <row r="36" spans="1:44" x14ac:dyDescent="0.2">
      <c r="A36">
        <f>ROW(Source!A33)</f>
        <v>33</v>
      </c>
      <c r="B36">
        <v>40777238</v>
      </c>
      <c r="C36">
        <v>40777222</v>
      </c>
      <c r="D36">
        <v>38685168</v>
      </c>
      <c r="E36">
        <v>1</v>
      </c>
      <c r="F36">
        <v>1</v>
      </c>
      <c r="G36">
        <v>1</v>
      </c>
      <c r="H36">
        <v>2</v>
      </c>
      <c r="I36" t="s">
        <v>361</v>
      </c>
      <c r="J36" t="s">
        <v>362</v>
      </c>
      <c r="K36" t="s">
        <v>363</v>
      </c>
      <c r="L36">
        <v>1368</v>
      </c>
      <c r="N36">
        <v>1011</v>
      </c>
      <c r="O36" t="s">
        <v>325</v>
      </c>
      <c r="P36" t="s">
        <v>325</v>
      </c>
      <c r="Q36">
        <v>1</v>
      </c>
      <c r="X36">
        <v>3.97</v>
      </c>
      <c r="Y36">
        <v>0</v>
      </c>
      <c r="Z36">
        <v>1.52</v>
      </c>
      <c r="AA36">
        <v>0</v>
      </c>
      <c r="AB36">
        <v>0</v>
      </c>
      <c r="AC36">
        <v>0</v>
      </c>
      <c r="AD36">
        <v>1</v>
      </c>
      <c r="AE36">
        <v>0</v>
      </c>
      <c r="AF36" t="s">
        <v>3</v>
      </c>
      <c r="AG36">
        <v>3.97</v>
      </c>
      <c r="AH36">
        <v>2</v>
      </c>
      <c r="AI36">
        <v>40777226</v>
      </c>
      <c r="AJ36">
        <v>36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ROW(Source!A33)</f>
        <v>33</v>
      </c>
      <c r="B37">
        <v>40777239</v>
      </c>
      <c r="C37">
        <v>40777222</v>
      </c>
      <c r="D37">
        <v>38685182</v>
      </c>
      <c r="E37">
        <v>1</v>
      </c>
      <c r="F37">
        <v>1</v>
      </c>
      <c r="G37">
        <v>1</v>
      </c>
      <c r="H37">
        <v>2</v>
      </c>
      <c r="I37" t="s">
        <v>364</v>
      </c>
      <c r="J37" t="s">
        <v>365</v>
      </c>
      <c r="K37" t="s">
        <v>366</v>
      </c>
      <c r="L37">
        <v>1368</v>
      </c>
      <c r="N37">
        <v>1011</v>
      </c>
      <c r="O37" t="s">
        <v>325</v>
      </c>
      <c r="P37" t="s">
        <v>325</v>
      </c>
      <c r="Q37">
        <v>1</v>
      </c>
      <c r="X37">
        <v>3.97</v>
      </c>
      <c r="Y37">
        <v>0</v>
      </c>
      <c r="Z37">
        <v>7.11</v>
      </c>
      <c r="AA37">
        <v>0</v>
      </c>
      <c r="AB37">
        <v>0</v>
      </c>
      <c r="AC37">
        <v>0</v>
      </c>
      <c r="AD37">
        <v>1</v>
      </c>
      <c r="AE37">
        <v>0</v>
      </c>
      <c r="AF37" t="s">
        <v>3</v>
      </c>
      <c r="AG37">
        <v>3.97</v>
      </c>
      <c r="AH37">
        <v>2</v>
      </c>
      <c r="AI37">
        <v>40777227</v>
      </c>
      <c r="AJ37">
        <v>37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ROW(Source!A33)</f>
        <v>33</v>
      </c>
      <c r="B38">
        <v>40777240</v>
      </c>
      <c r="C38">
        <v>40777222</v>
      </c>
      <c r="D38">
        <v>38686926</v>
      </c>
      <c r="E38">
        <v>1</v>
      </c>
      <c r="F38">
        <v>1</v>
      </c>
      <c r="G38">
        <v>1</v>
      </c>
      <c r="H38">
        <v>2</v>
      </c>
      <c r="I38" t="s">
        <v>367</v>
      </c>
      <c r="J38" t="s">
        <v>368</v>
      </c>
      <c r="K38" t="s">
        <v>369</v>
      </c>
      <c r="L38">
        <v>1368</v>
      </c>
      <c r="N38">
        <v>1011</v>
      </c>
      <c r="O38" t="s">
        <v>325</v>
      </c>
      <c r="P38" t="s">
        <v>325</v>
      </c>
      <c r="Q38">
        <v>1</v>
      </c>
      <c r="X38">
        <v>1.32</v>
      </c>
      <c r="Y38">
        <v>0</v>
      </c>
      <c r="Z38">
        <v>91.76</v>
      </c>
      <c r="AA38">
        <v>10.35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1.32</v>
      </c>
      <c r="AH38">
        <v>2</v>
      </c>
      <c r="AI38">
        <v>40777228</v>
      </c>
      <c r="AJ38">
        <v>38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ROW(Source!A33)</f>
        <v>33</v>
      </c>
      <c r="B39">
        <v>40777241</v>
      </c>
      <c r="C39">
        <v>40777222</v>
      </c>
      <c r="D39">
        <v>38626568</v>
      </c>
      <c r="E39">
        <v>1</v>
      </c>
      <c r="F39">
        <v>1</v>
      </c>
      <c r="G39">
        <v>1</v>
      </c>
      <c r="H39">
        <v>3</v>
      </c>
      <c r="I39" t="s">
        <v>380</v>
      </c>
      <c r="J39" t="s">
        <v>381</v>
      </c>
      <c r="K39" t="s">
        <v>382</v>
      </c>
      <c r="L39">
        <v>1348</v>
      </c>
      <c r="N39">
        <v>1009</v>
      </c>
      <c r="O39" t="s">
        <v>119</v>
      </c>
      <c r="P39" t="s">
        <v>119</v>
      </c>
      <c r="Q39">
        <v>1000</v>
      </c>
      <c r="X39">
        <v>0.01</v>
      </c>
      <c r="Y39">
        <v>6074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19</v>
      </c>
      <c r="AG39">
        <v>0</v>
      </c>
      <c r="AH39">
        <v>2</v>
      </c>
      <c r="AI39">
        <v>40777229</v>
      </c>
      <c r="AJ39">
        <v>39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</row>
    <row r="40" spans="1:44" x14ac:dyDescent="0.2">
      <c r="A40">
        <f>ROW(Source!A33)</f>
        <v>33</v>
      </c>
      <c r="B40">
        <v>40777242</v>
      </c>
      <c r="C40">
        <v>40777222</v>
      </c>
      <c r="D40">
        <v>38626603</v>
      </c>
      <c r="E40">
        <v>1</v>
      </c>
      <c r="F40">
        <v>1</v>
      </c>
      <c r="G40">
        <v>1</v>
      </c>
      <c r="H40">
        <v>3</v>
      </c>
      <c r="I40" t="s">
        <v>383</v>
      </c>
      <c r="J40" t="s">
        <v>384</v>
      </c>
      <c r="K40" t="s">
        <v>385</v>
      </c>
      <c r="L40">
        <v>1348</v>
      </c>
      <c r="N40">
        <v>1009</v>
      </c>
      <c r="O40" t="s">
        <v>119</v>
      </c>
      <c r="P40" t="s">
        <v>119</v>
      </c>
      <c r="Q40">
        <v>1000</v>
      </c>
      <c r="X40">
        <v>1E-3</v>
      </c>
      <c r="Y40">
        <v>5270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19</v>
      </c>
      <c r="AG40">
        <v>0</v>
      </c>
      <c r="AH40">
        <v>2</v>
      </c>
      <c r="AI40">
        <v>40777230</v>
      </c>
      <c r="AJ40">
        <v>40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</row>
    <row r="41" spans="1:44" x14ac:dyDescent="0.2">
      <c r="A41">
        <f>ROW(Source!A33)</f>
        <v>33</v>
      </c>
      <c r="B41">
        <v>40777243</v>
      </c>
      <c r="C41">
        <v>40777222</v>
      </c>
      <c r="D41">
        <v>38623533</v>
      </c>
      <c r="E41">
        <v>1</v>
      </c>
      <c r="F41">
        <v>1</v>
      </c>
      <c r="G41">
        <v>1</v>
      </c>
      <c r="H41">
        <v>3</v>
      </c>
      <c r="I41" t="s">
        <v>386</v>
      </c>
      <c r="J41" t="s">
        <v>387</v>
      </c>
      <c r="K41" t="s">
        <v>388</v>
      </c>
      <c r="L41">
        <v>1346</v>
      </c>
      <c r="N41">
        <v>1009</v>
      </c>
      <c r="O41" t="s">
        <v>141</v>
      </c>
      <c r="P41" t="s">
        <v>141</v>
      </c>
      <c r="Q41">
        <v>1</v>
      </c>
      <c r="X41">
        <v>0.25</v>
      </c>
      <c r="Y41">
        <v>29.04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19</v>
      </c>
      <c r="AG41">
        <v>0</v>
      </c>
      <c r="AH41">
        <v>2</v>
      </c>
      <c r="AI41">
        <v>40777231</v>
      </c>
      <c r="AJ41">
        <v>41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</row>
    <row r="42" spans="1:44" x14ac:dyDescent="0.2">
      <c r="A42">
        <f>ROW(Source!A33)</f>
        <v>33</v>
      </c>
      <c r="B42">
        <v>40777244</v>
      </c>
      <c r="C42">
        <v>40777222</v>
      </c>
      <c r="D42">
        <v>38623941</v>
      </c>
      <c r="E42">
        <v>1</v>
      </c>
      <c r="F42">
        <v>1</v>
      </c>
      <c r="G42">
        <v>1</v>
      </c>
      <c r="H42">
        <v>3</v>
      </c>
      <c r="I42" t="s">
        <v>370</v>
      </c>
      <c r="J42" t="s">
        <v>371</v>
      </c>
      <c r="K42" t="s">
        <v>372</v>
      </c>
      <c r="L42">
        <v>1308</v>
      </c>
      <c r="N42">
        <v>1003</v>
      </c>
      <c r="O42" t="s">
        <v>373</v>
      </c>
      <c r="P42" t="s">
        <v>373</v>
      </c>
      <c r="Q42">
        <v>100</v>
      </c>
      <c r="X42">
        <v>9.5999999999999992E-3</v>
      </c>
      <c r="Y42">
        <v>121.8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19</v>
      </c>
      <c r="AG42">
        <v>0</v>
      </c>
      <c r="AH42">
        <v>2</v>
      </c>
      <c r="AI42">
        <v>40777232</v>
      </c>
      <c r="AJ42">
        <v>42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</row>
    <row r="43" spans="1:44" x14ac:dyDescent="0.2">
      <c r="A43">
        <f>ROW(Source!A33)</f>
        <v>33</v>
      </c>
      <c r="B43">
        <v>40777245</v>
      </c>
      <c r="C43">
        <v>40777222</v>
      </c>
      <c r="D43">
        <v>38634896</v>
      </c>
      <c r="E43">
        <v>1</v>
      </c>
      <c r="F43">
        <v>1</v>
      </c>
      <c r="G43">
        <v>1</v>
      </c>
      <c r="H43">
        <v>3</v>
      </c>
      <c r="I43" t="s">
        <v>374</v>
      </c>
      <c r="J43" t="s">
        <v>375</v>
      </c>
      <c r="K43" t="s">
        <v>376</v>
      </c>
      <c r="L43">
        <v>1348</v>
      </c>
      <c r="N43">
        <v>1009</v>
      </c>
      <c r="O43" t="s">
        <v>119</v>
      </c>
      <c r="P43" t="s">
        <v>119</v>
      </c>
      <c r="Q43">
        <v>1000</v>
      </c>
      <c r="X43">
        <v>6.0000000000000002E-5</v>
      </c>
      <c r="Y43">
        <v>9528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19</v>
      </c>
      <c r="AG43">
        <v>0</v>
      </c>
      <c r="AH43">
        <v>2</v>
      </c>
      <c r="AI43">
        <v>40777233</v>
      </c>
      <c r="AJ43">
        <v>43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</row>
    <row r="44" spans="1:44" x14ac:dyDescent="0.2">
      <c r="A44">
        <f>ROW(Source!A33)</f>
        <v>33</v>
      </c>
      <c r="B44">
        <v>40777246</v>
      </c>
      <c r="C44">
        <v>40777222</v>
      </c>
      <c r="D44">
        <v>38684560</v>
      </c>
      <c r="E44">
        <v>1</v>
      </c>
      <c r="F44">
        <v>1</v>
      </c>
      <c r="G44">
        <v>1</v>
      </c>
      <c r="H44">
        <v>3</v>
      </c>
      <c r="I44" t="s">
        <v>354</v>
      </c>
      <c r="J44" t="s">
        <v>355</v>
      </c>
      <c r="K44" t="s">
        <v>356</v>
      </c>
      <c r="L44">
        <v>1374</v>
      </c>
      <c r="N44">
        <v>1013</v>
      </c>
      <c r="O44" t="s">
        <v>357</v>
      </c>
      <c r="P44" t="s">
        <v>357</v>
      </c>
      <c r="Q44">
        <v>1</v>
      </c>
      <c r="X44">
        <v>3.14</v>
      </c>
      <c r="Y44">
        <v>1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19</v>
      </c>
      <c r="AG44">
        <v>0</v>
      </c>
      <c r="AH44">
        <v>2</v>
      </c>
      <c r="AI44">
        <v>40777234</v>
      </c>
      <c r="AJ44">
        <v>44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</row>
    <row r="45" spans="1:44" x14ac:dyDescent="0.2">
      <c r="A45">
        <f>ROW(Source!A34)</f>
        <v>34</v>
      </c>
      <c r="B45">
        <v>40777253</v>
      </c>
      <c r="C45">
        <v>40777247</v>
      </c>
      <c r="D45">
        <v>23351395</v>
      </c>
      <c r="E45">
        <v>1</v>
      </c>
      <c r="F45">
        <v>1</v>
      </c>
      <c r="G45">
        <v>1</v>
      </c>
      <c r="H45">
        <v>1</v>
      </c>
      <c r="I45" t="s">
        <v>343</v>
      </c>
      <c r="J45" t="s">
        <v>3</v>
      </c>
      <c r="K45" t="s">
        <v>344</v>
      </c>
      <c r="L45">
        <v>1369</v>
      </c>
      <c r="N45">
        <v>1013</v>
      </c>
      <c r="O45" t="s">
        <v>319</v>
      </c>
      <c r="P45" t="s">
        <v>319</v>
      </c>
      <c r="Q45">
        <v>1</v>
      </c>
      <c r="X45">
        <v>5.21</v>
      </c>
      <c r="Y45">
        <v>0</v>
      </c>
      <c r="Z45">
        <v>0</v>
      </c>
      <c r="AA45">
        <v>0</v>
      </c>
      <c r="AB45">
        <v>8.99</v>
      </c>
      <c r="AC45">
        <v>0</v>
      </c>
      <c r="AD45">
        <v>1</v>
      </c>
      <c r="AE45">
        <v>1</v>
      </c>
      <c r="AF45" t="s">
        <v>3</v>
      </c>
      <c r="AG45">
        <v>5.21</v>
      </c>
      <c r="AH45">
        <v>2</v>
      </c>
      <c r="AI45">
        <v>40777248</v>
      </c>
      <c r="AJ45">
        <v>45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ROW(Source!A34)</f>
        <v>34</v>
      </c>
      <c r="B46">
        <v>40777254</v>
      </c>
      <c r="C46">
        <v>40777247</v>
      </c>
      <c r="D46">
        <v>121548</v>
      </c>
      <c r="E46">
        <v>1</v>
      </c>
      <c r="F46">
        <v>1</v>
      </c>
      <c r="G46">
        <v>1</v>
      </c>
      <c r="H46">
        <v>1</v>
      </c>
      <c r="I46" t="s">
        <v>26</v>
      </c>
      <c r="J46" t="s">
        <v>3</v>
      </c>
      <c r="K46" t="s">
        <v>320</v>
      </c>
      <c r="L46">
        <v>608254</v>
      </c>
      <c r="N46">
        <v>1013</v>
      </c>
      <c r="O46" t="s">
        <v>321</v>
      </c>
      <c r="P46" t="s">
        <v>321</v>
      </c>
      <c r="Q46">
        <v>1</v>
      </c>
      <c r="X46">
        <v>1.73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2</v>
      </c>
      <c r="AF46" t="s">
        <v>3</v>
      </c>
      <c r="AG46">
        <v>1.73</v>
      </c>
      <c r="AH46">
        <v>2</v>
      </c>
      <c r="AI46">
        <v>40777249</v>
      </c>
      <c r="AJ46">
        <v>46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ROW(Source!A34)</f>
        <v>34</v>
      </c>
      <c r="B47">
        <v>40777255</v>
      </c>
      <c r="C47">
        <v>40777247</v>
      </c>
      <c r="D47">
        <v>38685072</v>
      </c>
      <c r="E47">
        <v>1</v>
      </c>
      <c r="F47">
        <v>1</v>
      </c>
      <c r="G47">
        <v>1</v>
      </c>
      <c r="H47">
        <v>2</v>
      </c>
      <c r="I47" t="s">
        <v>358</v>
      </c>
      <c r="J47" t="s">
        <v>359</v>
      </c>
      <c r="K47" t="s">
        <v>360</v>
      </c>
      <c r="L47">
        <v>1368</v>
      </c>
      <c r="N47">
        <v>1011</v>
      </c>
      <c r="O47" t="s">
        <v>325</v>
      </c>
      <c r="P47" t="s">
        <v>325</v>
      </c>
      <c r="Q47">
        <v>1</v>
      </c>
      <c r="X47">
        <v>1.73</v>
      </c>
      <c r="Y47">
        <v>0</v>
      </c>
      <c r="Z47">
        <v>138.54</v>
      </c>
      <c r="AA47">
        <v>12.1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1.73</v>
      </c>
      <c r="AH47">
        <v>2</v>
      </c>
      <c r="AI47">
        <v>40777250</v>
      </c>
      <c r="AJ47">
        <v>47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ROW(Source!A34)</f>
        <v>34</v>
      </c>
      <c r="B48">
        <v>40777256</v>
      </c>
      <c r="C48">
        <v>40777247</v>
      </c>
      <c r="D48">
        <v>38686926</v>
      </c>
      <c r="E48">
        <v>1</v>
      </c>
      <c r="F48">
        <v>1</v>
      </c>
      <c r="G48">
        <v>1</v>
      </c>
      <c r="H48">
        <v>2</v>
      </c>
      <c r="I48" t="s">
        <v>367</v>
      </c>
      <c r="J48" t="s">
        <v>368</v>
      </c>
      <c r="K48" t="s">
        <v>369</v>
      </c>
      <c r="L48">
        <v>1368</v>
      </c>
      <c r="N48">
        <v>1011</v>
      </c>
      <c r="O48" t="s">
        <v>325</v>
      </c>
      <c r="P48" t="s">
        <v>325</v>
      </c>
      <c r="Q48">
        <v>1</v>
      </c>
      <c r="X48">
        <v>1.73</v>
      </c>
      <c r="Y48">
        <v>0</v>
      </c>
      <c r="Z48">
        <v>91.76</v>
      </c>
      <c r="AA48">
        <v>10.35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1.73</v>
      </c>
      <c r="AH48">
        <v>2</v>
      </c>
      <c r="AI48">
        <v>40777251</v>
      </c>
      <c r="AJ48">
        <v>48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</row>
    <row r="49" spans="1:44" x14ac:dyDescent="0.2">
      <c r="A49">
        <f>ROW(Source!A34)</f>
        <v>34</v>
      </c>
      <c r="B49">
        <v>40777257</v>
      </c>
      <c r="C49">
        <v>40777247</v>
      </c>
      <c r="D49">
        <v>38684560</v>
      </c>
      <c r="E49">
        <v>1</v>
      </c>
      <c r="F49">
        <v>1</v>
      </c>
      <c r="G49">
        <v>1</v>
      </c>
      <c r="H49">
        <v>3</v>
      </c>
      <c r="I49" t="s">
        <v>354</v>
      </c>
      <c r="J49" t="s">
        <v>355</v>
      </c>
      <c r="K49" t="s">
        <v>356</v>
      </c>
      <c r="L49">
        <v>1374</v>
      </c>
      <c r="N49">
        <v>1013</v>
      </c>
      <c r="O49" t="s">
        <v>357</v>
      </c>
      <c r="P49" t="s">
        <v>357</v>
      </c>
      <c r="Q49">
        <v>1</v>
      </c>
      <c r="X49">
        <v>0.94</v>
      </c>
      <c r="Y49">
        <v>1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19</v>
      </c>
      <c r="AG49">
        <v>0</v>
      </c>
      <c r="AH49">
        <v>2</v>
      </c>
      <c r="AI49">
        <v>40777252</v>
      </c>
      <c r="AJ49">
        <v>49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</row>
    <row r="50" spans="1:44" x14ac:dyDescent="0.2">
      <c r="A50">
        <f>ROW(Source!A35)</f>
        <v>35</v>
      </c>
      <c r="B50">
        <v>40777264</v>
      </c>
      <c r="C50">
        <v>40777258</v>
      </c>
      <c r="D50">
        <v>23351395</v>
      </c>
      <c r="E50">
        <v>1</v>
      </c>
      <c r="F50">
        <v>1</v>
      </c>
      <c r="G50">
        <v>1</v>
      </c>
      <c r="H50">
        <v>1</v>
      </c>
      <c r="I50" t="s">
        <v>343</v>
      </c>
      <c r="J50" t="s">
        <v>3</v>
      </c>
      <c r="K50" t="s">
        <v>344</v>
      </c>
      <c r="L50">
        <v>1369</v>
      </c>
      <c r="N50">
        <v>1013</v>
      </c>
      <c r="O50" t="s">
        <v>319</v>
      </c>
      <c r="P50" t="s">
        <v>319</v>
      </c>
      <c r="Q50">
        <v>1</v>
      </c>
      <c r="X50">
        <v>2.72</v>
      </c>
      <c r="Y50">
        <v>0</v>
      </c>
      <c r="Z50">
        <v>0</v>
      </c>
      <c r="AA50">
        <v>0</v>
      </c>
      <c r="AB50">
        <v>8.99</v>
      </c>
      <c r="AC50">
        <v>0</v>
      </c>
      <c r="AD50">
        <v>1</v>
      </c>
      <c r="AE50">
        <v>1</v>
      </c>
      <c r="AF50" t="s">
        <v>3</v>
      </c>
      <c r="AG50">
        <v>2.72</v>
      </c>
      <c r="AH50">
        <v>2</v>
      </c>
      <c r="AI50">
        <v>40777259</v>
      </c>
      <c r="AJ50">
        <v>50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</row>
    <row r="51" spans="1:44" x14ac:dyDescent="0.2">
      <c r="A51">
        <f>ROW(Source!A35)</f>
        <v>35</v>
      </c>
      <c r="B51">
        <v>40777265</v>
      </c>
      <c r="C51">
        <v>40777258</v>
      </c>
      <c r="D51">
        <v>121548</v>
      </c>
      <c r="E51">
        <v>1</v>
      </c>
      <c r="F51">
        <v>1</v>
      </c>
      <c r="G51">
        <v>1</v>
      </c>
      <c r="H51">
        <v>1</v>
      </c>
      <c r="I51" t="s">
        <v>26</v>
      </c>
      <c r="J51" t="s">
        <v>3</v>
      </c>
      <c r="K51" t="s">
        <v>320</v>
      </c>
      <c r="L51">
        <v>608254</v>
      </c>
      <c r="N51">
        <v>1013</v>
      </c>
      <c r="O51" t="s">
        <v>321</v>
      </c>
      <c r="P51" t="s">
        <v>321</v>
      </c>
      <c r="Q51">
        <v>1</v>
      </c>
      <c r="X51">
        <v>0.91</v>
      </c>
      <c r="Y51">
        <v>0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2</v>
      </c>
      <c r="AF51" t="s">
        <v>3</v>
      </c>
      <c r="AG51">
        <v>0.91</v>
      </c>
      <c r="AH51">
        <v>2</v>
      </c>
      <c r="AI51">
        <v>40777260</v>
      </c>
      <c r="AJ51">
        <v>51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</row>
    <row r="52" spans="1:44" x14ac:dyDescent="0.2">
      <c r="A52">
        <f>ROW(Source!A35)</f>
        <v>35</v>
      </c>
      <c r="B52">
        <v>40777266</v>
      </c>
      <c r="C52">
        <v>40777258</v>
      </c>
      <c r="D52">
        <v>38685072</v>
      </c>
      <c r="E52">
        <v>1</v>
      </c>
      <c r="F52">
        <v>1</v>
      </c>
      <c r="G52">
        <v>1</v>
      </c>
      <c r="H52">
        <v>2</v>
      </c>
      <c r="I52" t="s">
        <v>358</v>
      </c>
      <c r="J52" t="s">
        <v>359</v>
      </c>
      <c r="K52" t="s">
        <v>360</v>
      </c>
      <c r="L52">
        <v>1368</v>
      </c>
      <c r="N52">
        <v>1011</v>
      </c>
      <c r="O52" t="s">
        <v>325</v>
      </c>
      <c r="P52" t="s">
        <v>325</v>
      </c>
      <c r="Q52">
        <v>1</v>
      </c>
      <c r="X52">
        <v>0.91</v>
      </c>
      <c r="Y52">
        <v>0</v>
      </c>
      <c r="Z52">
        <v>138.54</v>
      </c>
      <c r="AA52">
        <v>12.1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0.91</v>
      </c>
      <c r="AH52">
        <v>2</v>
      </c>
      <c r="AI52">
        <v>40777261</v>
      </c>
      <c r="AJ52">
        <v>52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</row>
    <row r="53" spans="1:44" x14ac:dyDescent="0.2">
      <c r="A53">
        <f>ROW(Source!A35)</f>
        <v>35</v>
      </c>
      <c r="B53">
        <v>40777267</v>
      </c>
      <c r="C53">
        <v>40777258</v>
      </c>
      <c r="D53">
        <v>38686926</v>
      </c>
      <c r="E53">
        <v>1</v>
      </c>
      <c r="F53">
        <v>1</v>
      </c>
      <c r="G53">
        <v>1</v>
      </c>
      <c r="H53">
        <v>2</v>
      </c>
      <c r="I53" t="s">
        <v>367</v>
      </c>
      <c r="J53" t="s">
        <v>368</v>
      </c>
      <c r="K53" t="s">
        <v>369</v>
      </c>
      <c r="L53">
        <v>1368</v>
      </c>
      <c r="N53">
        <v>1011</v>
      </c>
      <c r="O53" t="s">
        <v>325</v>
      </c>
      <c r="P53" t="s">
        <v>325</v>
      </c>
      <c r="Q53">
        <v>1</v>
      </c>
      <c r="X53">
        <v>0.91</v>
      </c>
      <c r="Y53">
        <v>0</v>
      </c>
      <c r="Z53">
        <v>91.76</v>
      </c>
      <c r="AA53">
        <v>10.35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0.91</v>
      </c>
      <c r="AH53">
        <v>2</v>
      </c>
      <c r="AI53">
        <v>40777262</v>
      </c>
      <c r="AJ53">
        <v>53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</row>
    <row r="54" spans="1:44" x14ac:dyDescent="0.2">
      <c r="A54">
        <f>ROW(Source!A35)</f>
        <v>35</v>
      </c>
      <c r="B54">
        <v>40777268</v>
      </c>
      <c r="C54">
        <v>40777258</v>
      </c>
      <c r="D54">
        <v>38684560</v>
      </c>
      <c r="E54">
        <v>1</v>
      </c>
      <c r="F54">
        <v>1</v>
      </c>
      <c r="G54">
        <v>1</v>
      </c>
      <c r="H54">
        <v>3</v>
      </c>
      <c r="I54" t="s">
        <v>354</v>
      </c>
      <c r="J54" t="s">
        <v>355</v>
      </c>
      <c r="K54" t="s">
        <v>356</v>
      </c>
      <c r="L54">
        <v>1374</v>
      </c>
      <c r="N54">
        <v>1013</v>
      </c>
      <c r="O54" t="s">
        <v>357</v>
      </c>
      <c r="P54" t="s">
        <v>357</v>
      </c>
      <c r="Q54">
        <v>1</v>
      </c>
      <c r="X54">
        <v>0.49</v>
      </c>
      <c r="Y54">
        <v>1</v>
      </c>
      <c r="Z54">
        <v>0</v>
      </c>
      <c r="AA54">
        <v>0</v>
      </c>
      <c r="AB54">
        <v>0</v>
      </c>
      <c r="AC54">
        <v>0</v>
      </c>
      <c r="AD54">
        <v>1</v>
      </c>
      <c r="AE54">
        <v>0</v>
      </c>
      <c r="AF54" t="s">
        <v>19</v>
      </c>
      <c r="AG54">
        <v>0</v>
      </c>
      <c r="AH54">
        <v>2</v>
      </c>
      <c r="AI54">
        <v>40777263</v>
      </c>
      <c r="AJ54">
        <v>54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ROW(Source!A36)</f>
        <v>36</v>
      </c>
      <c r="B55">
        <v>40777281</v>
      </c>
      <c r="C55">
        <v>40777269</v>
      </c>
      <c r="D55">
        <v>23351395</v>
      </c>
      <c r="E55">
        <v>1</v>
      </c>
      <c r="F55">
        <v>1</v>
      </c>
      <c r="G55">
        <v>1</v>
      </c>
      <c r="H55">
        <v>1</v>
      </c>
      <c r="I55" t="s">
        <v>343</v>
      </c>
      <c r="J55" t="s">
        <v>3</v>
      </c>
      <c r="K55" t="s">
        <v>344</v>
      </c>
      <c r="L55">
        <v>1369</v>
      </c>
      <c r="N55">
        <v>1013</v>
      </c>
      <c r="O55" t="s">
        <v>319</v>
      </c>
      <c r="P55" t="s">
        <v>319</v>
      </c>
      <c r="Q55">
        <v>1</v>
      </c>
      <c r="X55">
        <v>24.32</v>
      </c>
      <c r="Y55">
        <v>0</v>
      </c>
      <c r="Z55">
        <v>0</v>
      </c>
      <c r="AA55">
        <v>0</v>
      </c>
      <c r="AB55">
        <v>8.99</v>
      </c>
      <c r="AC55">
        <v>0</v>
      </c>
      <c r="AD55">
        <v>1</v>
      </c>
      <c r="AE55">
        <v>1</v>
      </c>
      <c r="AF55" t="s">
        <v>3</v>
      </c>
      <c r="AG55">
        <v>24.32</v>
      </c>
      <c r="AH55">
        <v>2</v>
      </c>
      <c r="AI55">
        <v>40777270</v>
      </c>
      <c r="AJ55">
        <v>55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ROW(Source!A36)</f>
        <v>36</v>
      </c>
      <c r="B56">
        <v>40777282</v>
      </c>
      <c r="C56">
        <v>40777269</v>
      </c>
      <c r="D56">
        <v>121548</v>
      </c>
      <c r="E56">
        <v>1</v>
      </c>
      <c r="F56">
        <v>1</v>
      </c>
      <c r="G56">
        <v>1</v>
      </c>
      <c r="H56">
        <v>1</v>
      </c>
      <c r="I56" t="s">
        <v>26</v>
      </c>
      <c r="J56" t="s">
        <v>3</v>
      </c>
      <c r="K56" t="s">
        <v>320</v>
      </c>
      <c r="L56">
        <v>608254</v>
      </c>
      <c r="N56">
        <v>1013</v>
      </c>
      <c r="O56" t="s">
        <v>321</v>
      </c>
      <c r="P56" t="s">
        <v>321</v>
      </c>
      <c r="Q56">
        <v>1</v>
      </c>
      <c r="X56">
        <v>7.62</v>
      </c>
      <c r="Y56">
        <v>0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2</v>
      </c>
      <c r="AF56" t="s">
        <v>3</v>
      </c>
      <c r="AG56">
        <v>7.62</v>
      </c>
      <c r="AH56">
        <v>2</v>
      </c>
      <c r="AI56">
        <v>40777271</v>
      </c>
      <c r="AJ56">
        <v>56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ROW(Source!A36)</f>
        <v>36</v>
      </c>
      <c r="B57">
        <v>40777283</v>
      </c>
      <c r="C57">
        <v>40777269</v>
      </c>
      <c r="D57">
        <v>38685072</v>
      </c>
      <c r="E57">
        <v>1</v>
      </c>
      <c r="F57">
        <v>1</v>
      </c>
      <c r="G57">
        <v>1</v>
      </c>
      <c r="H57">
        <v>2</v>
      </c>
      <c r="I57" t="s">
        <v>358</v>
      </c>
      <c r="J57" t="s">
        <v>359</v>
      </c>
      <c r="K57" t="s">
        <v>360</v>
      </c>
      <c r="L57">
        <v>1368</v>
      </c>
      <c r="N57">
        <v>1011</v>
      </c>
      <c r="O57" t="s">
        <v>325</v>
      </c>
      <c r="P57" t="s">
        <v>325</v>
      </c>
      <c r="Q57">
        <v>1</v>
      </c>
      <c r="X57">
        <v>0.2</v>
      </c>
      <c r="Y57">
        <v>0</v>
      </c>
      <c r="Z57">
        <v>138.54</v>
      </c>
      <c r="AA57">
        <v>12.1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0.2</v>
      </c>
      <c r="AH57">
        <v>2</v>
      </c>
      <c r="AI57">
        <v>40777272</v>
      </c>
      <c r="AJ57">
        <v>57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</row>
    <row r="58" spans="1:44" x14ac:dyDescent="0.2">
      <c r="A58">
        <f>ROW(Source!A36)</f>
        <v>36</v>
      </c>
      <c r="B58">
        <v>40777284</v>
      </c>
      <c r="C58">
        <v>40777269</v>
      </c>
      <c r="D58">
        <v>38685168</v>
      </c>
      <c r="E58">
        <v>1</v>
      </c>
      <c r="F58">
        <v>1</v>
      </c>
      <c r="G58">
        <v>1</v>
      </c>
      <c r="H58">
        <v>2</v>
      </c>
      <c r="I58" t="s">
        <v>361</v>
      </c>
      <c r="J58" t="s">
        <v>362</v>
      </c>
      <c r="K58" t="s">
        <v>363</v>
      </c>
      <c r="L58">
        <v>1368</v>
      </c>
      <c r="N58">
        <v>1011</v>
      </c>
      <c r="O58" t="s">
        <v>325</v>
      </c>
      <c r="P58" t="s">
        <v>325</v>
      </c>
      <c r="Q58">
        <v>1</v>
      </c>
      <c r="X58">
        <v>5.57</v>
      </c>
      <c r="Y58">
        <v>0</v>
      </c>
      <c r="Z58">
        <v>1.52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5.57</v>
      </c>
      <c r="AH58">
        <v>2</v>
      </c>
      <c r="AI58">
        <v>40777273</v>
      </c>
      <c r="AJ58">
        <v>58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</row>
    <row r="59" spans="1:44" x14ac:dyDescent="0.2">
      <c r="A59">
        <f>ROW(Source!A36)</f>
        <v>36</v>
      </c>
      <c r="B59">
        <v>40777285</v>
      </c>
      <c r="C59">
        <v>40777269</v>
      </c>
      <c r="D59">
        <v>38685182</v>
      </c>
      <c r="E59">
        <v>1</v>
      </c>
      <c r="F59">
        <v>1</v>
      </c>
      <c r="G59">
        <v>1</v>
      </c>
      <c r="H59">
        <v>2</v>
      </c>
      <c r="I59" t="s">
        <v>364</v>
      </c>
      <c r="J59" t="s">
        <v>365</v>
      </c>
      <c r="K59" t="s">
        <v>366</v>
      </c>
      <c r="L59">
        <v>1368</v>
      </c>
      <c r="N59">
        <v>1011</v>
      </c>
      <c r="O59" t="s">
        <v>325</v>
      </c>
      <c r="P59" t="s">
        <v>325</v>
      </c>
      <c r="Q59">
        <v>1</v>
      </c>
      <c r="X59">
        <v>5.57</v>
      </c>
      <c r="Y59">
        <v>0</v>
      </c>
      <c r="Z59">
        <v>7.11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5.57</v>
      </c>
      <c r="AH59">
        <v>2</v>
      </c>
      <c r="AI59">
        <v>40777274</v>
      </c>
      <c r="AJ59">
        <v>59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</row>
    <row r="60" spans="1:44" x14ac:dyDescent="0.2">
      <c r="A60">
        <f>ROW(Source!A36)</f>
        <v>36</v>
      </c>
      <c r="B60">
        <v>40777286</v>
      </c>
      <c r="C60">
        <v>40777269</v>
      </c>
      <c r="D60">
        <v>38685221</v>
      </c>
      <c r="E60">
        <v>1</v>
      </c>
      <c r="F60">
        <v>1</v>
      </c>
      <c r="G60">
        <v>1</v>
      </c>
      <c r="H60">
        <v>2</v>
      </c>
      <c r="I60" t="s">
        <v>389</v>
      </c>
      <c r="J60" t="s">
        <v>390</v>
      </c>
      <c r="K60" t="s">
        <v>391</v>
      </c>
      <c r="L60">
        <v>1368</v>
      </c>
      <c r="N60">
        <v>1011</v>
      </c>
      <c r="O60" t="s">
        <v>325</v>
      </c>
      <c r="P60" t="s">
        <v>325</v>
      </c>
      <c r="Q60">
        <v>1</v>
      </c>
      <c r="X60">
        <v>7.42</v>
      </c>
      <c r="Y60">
        <v>0</v>
      </c>
      <c r="Z60">
        <v>155.38999999999999</v>
      </c>
      <c r="AA60">
        <v>12.1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7.42</v>
      </c>
      <c r="AH60">
        <v>2</v>
      </c>
      <c r="AI60">
        <v>40777275</v>
      </c>
      <c r="AJ60">
        <v>60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</row>
    <row r="61" spans="1:44" x14ac:dyDescent="0.2">
      <c r="A61">
        <f>ROW(Source!A36)</f>
        <v>36</v>
      </c>
      <c r="B61">
        <v>40777287</v>
      </c>
      <c r="C61">
        <v>40777269</v>
      </c>
      <c r="D61">
        <v>38686926</v>
      </c>
      <c r="E61">
        <v>1</v>
      </c>
      <c r="F61">
        <v>1</v>
      </c>
      <c r="G61">
        <v>1</v>
      </c>
      <c r="H61">
        <v>2</v>
      </c>
      <c r="I61" t="s">
        <v>367</v>
      </c>
      <c r="J61" t="s">
        <v>368</v>
      </c>
      <c r="K61" t="s">
        <v>369</v>
      </c>
      <c r="L61">
        <v>1368</v>
      </c>
      <c r="N61">
        <v>1011</v>
      </c>
      <c r="O61" t="s">
        <v>325</v>
      </c>
      <c r="P61" t="s">
        <v>325</v>
      </c>
      <c r="Q61">
        <v>1</v>
      </c>
      <c r="X61">
        <v>0.2</v>
      </c>
      <c r="Y61">
        <v>0</v>
      </c>
      <c r="Z61">
        <v>91.76</v>
      </c>
      <c r="AA61">
        <v>10.35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0.2</v>
      </c>
      <c r="AH61">
        <v>2</v>
      </c>
      <c r="AI61">
        <v>40777276</v>
      </c>
      <c r="AJ61">
        <v>61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</row>
    <row r="62" spans="1:44" x14ac:dyDescent="0.2">
      <c r="A62">
        <f>ROW(Source!A36)</f>
        <v>36</v>
      </c>
      <c r="B62">
        <v>40777288</v>
      </c>
      <c r="C62">
        <v>40777269</v>
      </c>
      <c r="D62">
        <v>38623941</v>
      </c>
      <c r="E62">
        <v>1</v>
      </c>
      <c r="F62">
        <v>1</v>
      </c>
      <c r="G62">
        <v>1</v>
      </c>
      <c r="H62">
        <v>3</v>
      </c>
      <c r="I62" t="s">
        <v>370</v>
      </c>
      <c r="J62" t="s">
        <v>371</v>
      </c>
      <c r="K62" t="s">
        <v>372</v>
      </c>
      <c r="L62">
        <v>1308</v>
      </c>
      <c r="N62">
        <v>1003</v>
      </c>
      <c r="O62" t="s">
        <v>373</v>
      </c>
      <c r="P62" t="s">
        <v>373</v>
      </c>
      <c r="Q62">
        <v>100</v>
      </c>
      <c r="X62">
        <v>2.4500000000000001E-2</v>
      </c>
      <c r="Y62">
        <v>121.8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19</v>
      </c>
      <c r="AG62">
        <v>0</v>
      </c>
      <c r="AH62">
        <v>2</v>
      </c>
      <c r="AI62">
        <v>40777277</v>
      </c>
      <c r="AJ62">
        <v>62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</row>
    <row r="63" spans="1:44" x14ac:dyDescent="0.2">
      <c r="A63">
        <f>ROW(Source!A36)</f>
        <v>36</v>
      </c>
      <c r="B63">
        <v>40777289</v>
      </c>
      <c r="C63">
        <v>40777269</v>
      </c>
      <c r="D63">
        <v>38634896</v>
      </c>
      <c r="E63">
        <v>1</v>
      </c>
      <c r="F63">
        <v>1</v>
      </c>
      <c r="G63">
        <v>1</v>
      </c>
      <c r="H63">
        <v>3</v>
      </c>
      <c r="I63" t="s">
        <v>374</v>
      </c>
      <c r="J63" t="s">
        <v>375</v>
      </c>
      <c r="K63" t="s">
        <v>376</v>
      </c>
      <c r="L63">
        <v>1348</v>
      </c>
      <c r="N63">
        <v>1009</v>
      </c>
      <c r="O63" t="s">
        <v>119</v>
      </c>
      <c r="P63" t="s">
        <v>119</v>
      </c>
      <c r="Q63">
        <v>1000</v>
      </c>
      <c r="X63">
        <v>2.8800000000000002E-3</v>
      </c>
      <c r="Y63">
        <v>9528</v>
      </c>
      <c r="Z63">
        <v>0</v>
      </c>
      <c r="AA63">
        <v>0</v>
      </c>
      <c r="AB63">
        <v>0</v>
      </c>
      <c r="AC63">
        <v>0</v>
      </c>
      <c r="AD63">
        <v>1</v>
      </c>
      <c r="AE63">
        <v>0</v>
      </c>
      <c r="AF63" t="s">
        <v>19</v>
      </c>
      <c r="AG63">
        <v>0</v>
      </c>
      <c r="AH63">
        <v>2</v>
      </c>
      <c r="AI63">
        <v>40777278</v>
      </c>
      <c r="AJ63">
        <v>63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ROW(Source!A36)</f>
        <v>36</v>
      </c>
      <c r="B64">
        <v>40777290</v>
      </c>
      <c r="C64">
        <v>40777269</v>
      </c>
      <c r="D64">
        <v>38671537</v>
      </c>
      <c r="E64">
        <v>1</v>
      </c>
      <c r="F64">
        <v>1</v>
      </c>
      <c r="G64">
        <v>1</v>
      </c>
      <c r="H64">
        <v>3</v>
      </c>
      <c r="I64" t="s">
        <v>377</v>
      </c>
      <c r="J64" t="s">
        <v>378</v>
      </c>
      <c r="K64" t="s">
        <v>379</v>
      </c>
      <c r="L64">
        <v>1346</v>
      </c>
      <c r="N64">
        <v>1009</v>
      </c>
      <c r="O64" t="s">
        <v>141</v>
      </c>
      <c r="P64" t="s">
        <v>141</v>
      </c>
      <c r="Q64">
        <v>1</v>
      </c>
      <c r="X64">
        <v>0.5</v>
      </c>
      <c r="Y64">
        <v>71.45</v>
      </c>
      <c r="Z64">
        <v>0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19</v>
      </c>
      <c r="AG64">
        <v>0</v>
      </c>
      <c r="AH64">
        <v>2</v>
      </c>
      <c r="AI64">
        <v>40777279</v>
      </c>
      <c r="AJ64">
        <v>64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ROW(Source!A36)</f>
        <v>36</v>
      </c>
      <c r="B65">
        <v>40777291</v>
      </c>
      <c r="C65">
        <v>40777269</v>
      </c>
      <c r="D65">
        <v>38684560</v>
      </c>
      <c r="E65">
        <v>1</v>
      </c>
      <c r="F65">
        <v>1</v>
      </c>
      <c r="G65">
        <v>1</v>
      </c>
      <c r="H65">
        <v>3</v>
      </c>
      <c r="I65" t="s">
        <v>354</v>
      </c>
      <c r="J65" t="s">
        <v>355</v>
      </c>
      <c r="K65" t="s">
        <v>356</v>
      </c>
      <c r="L65">
        <v>1374</v>
      </c>
      <c r="N65">
        <v>1013</v>
      </c>
      <c r="O65" t="s">
        <v>357</v>
      </c>
      <c r="P65" t="s">
        <v>357</v>
      </c>
      <c r="Q65">
        <v>1</v>
      </c>
      <c r="X65">
        <v>4.37</v>
      </c>
      <c r="Y65">
        <v>1</v>
      </c>
      <c r="Z65">
        <v>0</v>
      </c>
      <c r="AA65">
        <v>0</v>
      </c>
      <c r="AB65">
        <v>0</v>
      </c>
      <c r="AC65">
        <v>0</v>
      </c>
      <c r="AD65">
        <v>1</v>
      </c>
      <c r="AE65">
        <v>0</v>
      </c>
      <c r="AF65" t="s">
        <v>19</v>
      </c>
      <c r="AG65">
        <v>0</v>
      </c>
      <c r="AH65">
        <v>2</v>
      </c>
      <c r="AI65">
        <v>40777280</v>
      </c>
      <c r="AJ65">
        <v>65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ROW(Source!A37)</f>
        <v>37</v>
      </c>
      <c r="B66">
        <v>40777304</v>
      </c>
      <c r="C66">
        <v>40777292</v>
      </c>
      <c r="D66">
        <v>23351395</v>
      </c>
      <c r="E66">
        <v>1</v>
      </c>
      <c r="F66">
        <v>1</v>
      </c>
      <c r="G66">
        <v>1</v>
      </c>
      <c r="H66">
        <v>1</v>
      </c>
      <c r="I66" t="s">
        <v>343</v>
      </c>
      <c r="J66" t="s">
        <v>3</v>
      </c>
      <c r="K66" t="s">
        <v>344</v>
      </c>
      <c r="L66">
        <v>1369</v>
      </c>
      <c r="N66">
        <v>1013</v>
      </c>
      <c r="O66" t="s">
        <v>319</v>
      </c>
      <c r="P66" t="s">
        <v>319</v>
      </c>
      <c r="Q66">
        <v>1</v>
      </c>
      <c r="X66">
        <v>13.4</v>
      </c>
      <c r="Y66">
        <v>0</v>
      </c>
      <c r="Z66">
        <v>0</v>
      </c>
      <c r="AA66">
        <v>0</v>
      </c>
      <c r="AB66">
        <v>8.99</v>
      </c>
      <c r="AC66">
        <v>0</v>
      </c>
      <c r="AD66">
        <v>1</v>
      </c>
      <c r="AE66">
        <v>1</v>
      </c>
      <c r="AF66" t="s">
        <v>3</v>
      </c>
      <c r="AG66">
        <v>13.4</v>
      </c>
      <c r="AH66">
        <v>2</v>
      </c>
      <c r="AI66">
        <v>40777293</v>
      </c>
      <c r="AJ66">
        <v>66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ROW(Source!A37)</f>
        <v>37</v>
      </c>
      <c r="B67">
        <v>40777305</v>
      </c>
      <c r="C67">
        <v>40777292</v>
      </c>
      <c r="D67">
        <v>38620813</v>
      </c>
      <c r="E67">
        <v>1</v>
      </c>
      <c r="F67">
        <v>1</v>
      </c>
      <c r="G67">
        <v>1</v>
      </c>
      <c r="H67">
        <v>3</v>
      </c>
      <c r="I67" t="s">
        <v>392</v>
      </c>
      <c r="J67" t="s">
        <v>393</v>
      </c>
      <c r="K67" t="s">
        <v>394</v>
      </c>
      <c r="L67">
        <v>1348</v>
      </c>
      <c r="N67">
        <v>1009</v>
      </c>
      <c r="O67" t="s">
        <v>119</v>
      </c>
      <c r="P67" t="s">
        <v>119</v>
      </c>
      <c r="Q67">
        <v>1000</v>
      </c>
      <c r="X67">
        <v>5.0000000000000001E-4</v>
      </c>
      <c r="Y67">
        <v>4488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  <c r="AF67" t="s">
        <v>19</v>
      </c>
      <c r="AG67">
        <v>0</v>
      </c>
      <c r="AH67">
        <v>2</v>
      </c>
      <c r="AI67">
        <v>40777294</v>
      </c>
      <c r="AJ67">
        <v>67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ROW(Source!A37)</f>
        <v>37</v>
      </c>
      <c r="B68">
        <v>40777306</v>
      </c>
      <c r="C68">
        <v>40777292</v>
      </c>
      <c r="D68">
        <v>38623631</v>
      </c>
      <c r="E68">
        <v>1</v>
      </c>
      <c r="F68">
        <v>1</v>
      </c>
      <c r="G68">
        <v>1</v>
      </c>
      <c r="H68">
        <v>3</v>
      </c>
      <c r="I68" t="s">
        <v>395</v>
      </c>
      <c r="J68" t="s">
        <v>396</v>
      </c>
      <c r="K68" t="s">
        <v>397</v>
      </c>
      <c r="L68">
        <v>1348</v>
      </c>
      <c r="N68">
        <v>1009</v>
      </c>
      <c r="O68" t="s">
        <v>119</v>
      </c>
      <c r="P68" t="s">
        <v>119</v>
      </c>
      <c r="Q68">
        <v>1000</v>
      </c>
      <c r="X68">
        <v>2.0000000000000002E-5</v>
      </c>
      <c r="Y68">
        <v>70197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0</v>
      </c>
      <c r="AF68" t="s">
        <v>19</v>
      </c>
      <c r="AG68">
        <v>0</v>
      </c>
      <c r="AH68">
        <v>2</v>
      </c>
      <c r="AI68">
        <v>40777295</v>
      </c>
      <c r="AJ68">
        <v>68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ROW(Source!A37)</f>
        <v>37</v>
      </c>
      <c r="B69">
        <v>40777307</v>
      </c>
      <c r="C69">
        <v>40777292</v>
      </c>
      <c r="D69">
        <v>38620849</v>
      </c>
      <c r="E69">
        <v>1</v>
      </c>
      <c r="F69">
        <v>1</v>
      </c>
      <c r="G69">
        <v>1</v>
      </c>
      <c r="H69">
        <v>3</v>
      </c>
      <c r="I69" t="s">
        <v>398</v>
      </c>
      <c r="J69" t="s">
        <v>399</v>
      </c>
      <c r="K69" t="s">
        <v>400</v>
      </c>
      <c r="L69">
        <v>1346</v>
      </c>
      <c r="N69">
        <v>1009</v>
      </c>
      <c r="O69" t="s">
        <v>141</v>
      </c>
      <c r="P69" t="s">
        <v>141</v>
      </c>
      <c r="Q69">
        <v>1</v>
      </c>
      <c r="X69">
        <v>1</v>
      </c>
      <c r="Y69">
        <v>6.62</v>
      </c>
      <c r="Z69">
        <v>0</v>
      </c>
      <c r="AA69">
        <v>0</v>
      </c>
      <c r="AB69">
        <v>0</v>
      </c>
      <c r="AC69">
        <v>0</v>
      </c>
      <c r="AD69">
        <v>1</v>
      </c>
      <c r="AE69">
        <v>0</v>
      </c>
      <c r="AF69" t="s">
        <v>19</v>
      </c>
      <c r="AG69">
        <v>0</v>
      </c>
      <c r="AH69">
        <v>2</v>
      </c>
      <c r="AI69">
        <v>40777296</v>
      </c>
      <c r="AJ69">
        <v>69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ROW(Source!A37)</f>
        <v>37</v>
      </c>
      <c r="B70">
        <v>40777308</v>
      </c>
      <c r="C70">
        <v>40777292</v>
      </c>
      <c r="D70">
        <v>38623980</v>
      </c>
      <c r="E70">
        <v>1</v>
      </c>
      <c r="F70">
        <v>1</v>
      </c>
      <c r="G70">
        <v>1</v>
      </c>
      <c r="H70">
        <v>3</v>
      </c>
      <c r="I70" t="s">
        <v>401</v>
      </c>
      <c r="J70" t="s">
        <v>402</v>
      </c>
      <c r="K70" t="s">
        <v>403</v>
      </c>
      <c r="L70">
        <v>1346</v>
      </c>
      <c r="N70">
        <v>1009</v>
      </c>
      <c r="O70" t="s">
        <v>141</v>
      </c>
      <c r="P70" t="s">
        <v>141</v>
      </c>
      <c r="Q70">
        <v>1</v>
      </c>
      <c r="X70">
        <v>0.27</v>
      </c>
      <c r="Y70">
        <v>31</v>
      </c>
      <c r="Z70">
        <v>0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19</v>
      </c>
      <c r="AG70">
        <v>0</v>
      </c>
      <c r="AH70">
        <v>2</v>
      </c>
      <c r="AI70">
        <v>40777297</v>
      </c>
      <c r="AJ70">
        <v>70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ROW(Source!A37)</f>
        <v>37</v>
      </c>
      <c r="B71">
        <v>40777309</v>
      </c>
      <c r="C71">
        <v>40777292</v>
      </c>
      <c r="D71">
        <v>38669015</v>
      </c>
      <c r="E71">
        <v>1</v>
      </c>
      <c r="F71">
        <v>1</v>
      </c>
      <c r="G71">
        <v>1</v>
      </c>
      <c r="H71">
        <v>3</v>
      </c>
      <c r="I71" t="s">
        <v>404</v>
      </c>
      <c r="J71" t="s">
        <v>405</v>
      </c>
      <c r="K71" t="s">
        <v>406</v>
      </c>
      <c r="L71">
        <v>1348</v>
      </c>
      <c r="N71">
        <v>1009</v>
      </c>
      <c r="O71" t="s">
        <v>119</v>
      </c>
      <c r="P71" t="s">
        <v>119</v>
      </c>
      <c r="Q71">
        <v>1000</v>
      </c>
      <c r="X71">
        <v>1.2E-4</v>
      </c>
      <c r="Y71">
        <v>98384.53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19</v>
      </c>
      <c r="AG71">
        <v>0</v>
      </c>
      <c r="AH71">
        <v>2</v>
      </c>
      <c r="AI71">
        <v>40777298</v>
      </c>
      <c r="AJ71">
        <v>71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ROW(Source!A37)</f>
        <v>37</v>
      </c>
      <c r="B72">
        <v>40777310</v>
      </c>
      <c r="C72">
        <v>40777292</v>
      </c>
      <c r="D72">
        <v>38671537</v>
      </c>
      <c r="E72">
        <v>1</v>
      </c>
      <c r="F72">
        <v>1</v>
      </c>
      <c r="G72">
        <v>1</v>
      </c>
      <c r="H72">
        <v>3</v>
      </c>
      <c r="I72" t="s">
        <v>377</v>
      </c>
      <c r="J72" t="s">
        <v>378</v>
      </c>
      <c r="K72" t="s">
        <v>379</v>
      </c>
      <c r="L72">
        <v>1346</v>
      </c>
      <c r="N72">
        <v>1009</v>
      </c>
      <c r="O72" t="s">
        <v>141</v>
      </c>
      <c r="P72" t="s">
        <v>141</v>
      </c>
      <c r="Q72">
        <v>1</v>
      </c>
      <c r="X72">
        <v>0.4</v>
      </c>
      <c r="Y72">
        <v>71.45</v>
      </c>
      <c r="Z72">
        <v>0</v>
      </c>
      <c r="AA72">
        <v>0</v>
      </c>
      <c r="AB72">
        <v>0</v>
      </c>
      <c r="AC72">
        <v>0</v>
      </c>
      <c r="AD72">
        <v>1</v>
      </c>
      <c r="AE72">
        <v>0</v>
      </c>
      <c r="AF72" t="s">
        <v>19</v>
      </c>
      <c r="AG72">
        <v>0</v>
      </c>
      <c r="AH72">
        <v>2</v>
      </c>
      <c r="AI72">
        <v>40777299</v>
      </c>
      <c r="AJ72">
        <v>72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ROW(Source!A37)</f>
        <v>37</v>
      </c>
      <c r="B73">
        <v>40777311</v>
      </c>
      <c r="C73">
        <v>40777292</v>
      </c>
      <c r="D73">
        <v>38683647</v>
      </c>
      <c r="E73">
        <v>1</v>
      </c>
      <c r="F73">
        <v>1</v>
      </c>
      <c r="G73">
        <v>1</v>
      </c>
      <c r="H73">
        <v>3</v>
      </c>
      <c r="I73" t="s">
        <v>407</v>
      </c>
      <c r="J73" t="s">
        <v>408</v>
      </c>
      <c r="K73" t="s">
        <v>409</v>
      </c>
      <c r="L73">
        <v>1354</v>
      </c>
      <c r="N73">
        <v>1010</v>
      </c>
      <c r="O73" t="s">
        <v>155</v>
      </c>
      <c r="P73" t="s">
        <v>155</v>
      </c>
      <c r="Q73">
        <v>1</v>
      </c>
      <c r="X73">
        <v>1</v>
      </c>
      <c r="Y73">
        <v>38.57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19</v>
      </c>
      <c r="AG73">
        <v>0</v>
      </c>
      <c r="AH73">
        <v>2</v>
      </c>
      <c r="AI73">
        <v>40777300</v>
      </c>
      <c r="AJ73">
        <v>73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</row>
    <row r="74" spans="1:44" x14ac:dyDescent="0.2">
      <c r="A74">
        <f>ROW(Source!A37)</f>
        <v>37</v>
      </c>
      <c r="B74">
        <v>40777312</v>
      </c>
      <c r="C74">
        <v>40777292</v>
      </c>
      <c r="D74">
        <v>38683648</v>
      </c>
      <c r="E74">
        <v>1</v>
      </c>
      <c r="F74">
        <v>1</v>
      </c>
      <c r="G74">
        <v>1</v>
      </c>
      <c r="H74">
        <v>3</v>
      </c>
      <c r="I74" t="s">
        <v>410</v>
      </c>
      <c r="J74" t="s">
        <v>411</v>
      </c>
      <c r="K74" t="s">
        <v>412</v>
      </c>
      <c r="L74">
        <v>1354</v>
      </c>
      <c r="N74">
        <v>1010</v>
      </c>
      <c r="O74" t="s">
        <v>155</v>
      </c>
      <c r="P74" t="s">
        <v>155</v>
      </c>
      <c r="Q74">
        <v>1</v>
      </c>
      <c r="X74">
        <v>1</v>
      </c>
      <c r="Y74">
        <v>38.57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19</v>
      </c>
      <c r="AG74">
        <v>0</v>
      </c>
      <c r="AH74">
        <v>2</v>
      </c>
      <c r="AI74">
        <v>40777301</v>
      </c>
      <c r="AJ74">
        <v>74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</row>
    <row r="75" spans="1:44" x14ac:dyDescent="0.2">
      <c r="A75">
        <f>ROW(Source!A37)</f>
        <v>37</v>
      </c>
      <c r="B75">
        <v>40777313</v>
      </c>
      <c r="C75">
        <v>40777292</v>
      </c>
      <c r="D75">
        <v>38684434</v>
      </c>
      <c r="E75">
        <v>1</v>
      </c>
      <c r="F75">
        <v>1</v>
      </c>
      <c r="G75">
        <v>1</v>
      </c>
      <c r="H75">
        <v>3</v>
      </c>
      <c r="I75" t="s">
        <v>351</v>
      </c>
      <c r="J75" t="s">
        <v>352</v>
      </c>
      <c r="K75" t="s">
        <v>353</v>
      </c>
      <c r="L75">
        <v>1348</v>
      </c>
      <c r="N75">
        <v>1009</v>
      </c>
      <c r="O75" t="s">
        <v>119</v>
      </c>
      <c r="P75" t="s">
        <v>119</v>
      </c>
      <c r="Q75">
        <v>1000</v>
      </c>
      <c r="X75">
        <v>2.0000000000000001E-4</v>
      </c>
      <c r="Y75">
        <v>27354.25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19</v>
      </c>
      <c r="AG75">
        <v>0</v>
      </c>
      <c r="AH75">
        <v>2</v>
      </c>
      <c r="AI75">
        <v>40777302</v>
      </c>
      <c r="AJ75">
        <v>75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</row>
    <row r="76" spans="1:44" x14ac:dyDescent="0.2">
      <c r="A76">
        <f>ROW(Source!A37)</f>
        <v>37</v>
      </c>
      <c r="B76">
        <v>40777314</v>
      </c>
      <c r="C76">
        <v>40777292</v>
      </c>
      <c r="D76">
        <v>38684560</v>
      </c>
      <c r="E76">
        <v>1</v>
      </c>
      <c r="F76">
        <v>1</v>
      </c>
      <c r="G76">
        <v>1</v>
      </c>
      <c r="H76">
        <v>3</v>
      </c>
      <c r="I76" t="s">
        <v>354</v>
      </c>
      <c r="J76" t="s">
        <v>355</v>
      </c>
      <c r="K76" t="s">
        <v>356</v>
      </c>
      <c r="L76">
        <v>1374</v>
      </c>
      <c r="N76">
        <v>1013</v>
      </c>
      <c r="O76" t="s">
        <v>357</v>
      </c>
      <c r="P76" t="s">
        <v>357</v>
      </c>
      <c r="Q76">
        <v>1</v>
      </c>
      <c r="X76">
        <v>2.41</v>
      </c>
      <c r="Y76">
        <v>1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19</v>
      </c>
      <c r="AG76">
        <v>0</v>
      </c>
      <c r="AH76">
        <v>2</v>
      </c>
      <c r="AI76">
        <v>40777303</v>
      </c>
      <c r="AJ76">
        <v>76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</row>
    <row r="77" spans="1:44" x14ac:dyDescent="0.2">
      <c r="A77">
        <f>ROW(Source!A38)</f>
        <v>38</v>
      </c>
      <c r="B77">
        <v>40777330</v>
      </c>
      <c r="C77">
        <v>40777315</v>
      </c>
      <c r="D77">
        <v>23355901</v>
      </c>
      <c r="E77">
        <v>1</v>
      </c>
      <c r="F77">
        <v>1</v>
      </c>
      <c r="G77">
        <v>1</v>
      </c>
      <c r="H77">
        <v>1</v>
      </c>
      <c r="I77" t="s">
        <v>413</v>
      </c>
      <c r="J77" t="s">
        <v>3</v>
      </c>
      <c r="K77" t="s">
        <v>414</v>
      </c>
      <c r="L77">
        <v>1369</v>
      </c>
      <c r="N77">
        <v>1013</v>
      </c>
      <c r="O77" t="s">
        <v>319</v>
      </c>
      <c r="P77" t="s">
        <v>319</v>
      </c>
      <c r="Q77">
        <v>1</v>
      </c>
      <c r="X77">
        <v>100</v>
      </c>
      <c r="Y77">
        <v>0</v>
      </c>
      <c r="Z77">
        <v>0</v>
      </c>
      <c r="AA77">
        <v>0</v>
      </c>
      <c r="AB77">
        <v>9.27</v>
      </c>
      <c r="AC77">
        <v>0</v>
      </c>
      <c r="AD77">
        <v>1</v>
      </c>
      <c r="AE77">
        <v>1</v>
      </c>
      <c r="AF77" t="s">
        <v>3</v>
      </c>
      <c r="AG77">
        <v>100</v>
      </c>
      <c r="AH77">
        <v>2</v>
      </c>
      <c r="AI77">
        <v>40777316</v>
      </c>
      <c r="AJ77">
        <v>77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ROW(Source!A38)</f>
        <v>38</v>
      </c>
      <c r="B78">
        <v>40777331</v>
      </c>
      <c r="C78">
        <v>40777315</v>
      </c>
      <c r="D78">
        <v>121548</v>
      </c>
      <c r="E78">
        <v>1</v>
      </c>
      <c r="F78">
        <v>1</v>
      </c>
      <c r="G78">
        <v>1</v>
      </c>
      <c r="H78">
        <v>1</v>
      </c>
      <c r="I78" t="s">
        <v>26</v>
      </c>
      <c r="J78" t="s">
        <v>3</v>
      </c>
      <c r="K78" t="s">
        <v>320</v>
      </c>
      <c r="L78">
        <v>608254</v>
      </c>
      <c r="N78">
        <v>1013</v>
      </c>
      <c r="O78" t="s">
        <v>321</v>
      </c>
      <c r="P78" t="s">
        <v>321</v>
      </c>
      <c r="Q78">
        <v>1</v>
      </c>
      <c r="X78">
        <v>0.09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2</v>
      </c>
      <c r="AF78" t="s">
        <v>3</v>
      </c>
      <c r="AG78">
        <v>0.09</v>
      </c>
      <c r="AH78">
        <v>2</v>
      </c>
      <c r="AI78">
        <v>40777317</v>
      </c>
      <c r="AJ78">
        <v>78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ROW(Source!A38)</f>
        <v>38</v>
      </c>
      <c r="B79">
        <v>40777332</v>
      </c>
      <c r="C79">
        <v>40777315</v>
      </c>
      <c r="D79">
        <v>38685072</v>
      </c>
      <c r="E79">
        <v>1</v>
      </c>
      <c r="F79">
        <v>1</v>
      </c>
      <c r="G79">
        <v>1</v>
      </c>
      <c r="H79">
        <v>2</v>
      </c>
      <c r="I79" t="s">
        <v>358</v>
      </c>
      <c r="J79" t="s">
        <v>359</v>
      </c>
      <c r="K79" t="s">
        <v>360</v>
      </c>
      <c r="L79">
        <v>1368</v>
      </c>
      <c r="N79">
        <v>1011</v>
      </c>
      <c r="O79" t="s">
        <v>325</v>
      </c>
      <c r="P79" t="s">
        <v>325</v>
      </c>
      <c r="Q79">
        <v>1</v>
      </c>
      <c r="X79">
        <v>0.09</v>
      </c>
      <c r="Y79">
        <v>0</v>
      </c>
      <c r="Z79">
        <v>138.54</v>
      </c>
      <c r="AA79">
        <v>12.1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0.09</v>
      </c>
      <c r="AH79">
        <v>2</v>
      </c>
      <c r="AI79">
        <v>40777318</v>
      </c>
      <c r="AJ79">
        <v>79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ROW(Source!A38)</f>
        <v>38</v>
      </c>
      <c r="B80">
        <v>40777333</v>
      </c>
      <c r="C80">
        <v>40777315</v>
      </c>
      <c r="D80">
        <v>38686764</v>
      </c>
      <c r="E80">
        <v>1</v>
      </c>
      <c r="F80">
        <v>1</v>
      </c>
      <c r="G80">
        <v>1</v>
      </c>
      <c r="H80">
        <v>2</v>
      </c>
      <c r="I80" t="s">
        <v>415</v>
      </c>
      <c r="J80" t="s">
        <v>416</v>
      </c>
      <c r="K80" t="s">
        <v>417</v>
      </c>
      <c r="L80">
        <v>1368</v>
      </c>
      <c r="N80">
        <v>1011</v>
      </c>
      <c r="O80" t="s">
        <v>325</v>
      </c>
      <c r="P80" t="s">
        <v>325</v>
      </c>
      <c r="Q80">
        <v>1</v>
      </c>
      <c r="X80">
        <v>30.7</v>
      </c>
      <c r="Y80">
        <v>0</v>
      </c>
      <c r="Z80">
        <v>1.2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30.7</v>
      </c>
      <c r="AH80">
        <v>2</v>
      </c>
      <c r="AI80">
        <v>40777319</v>
      </c>
      <c r="AJ80">
        <v>80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ROW(Source!A38)</f>
        <v>38</v>
      </c>
      <c r="B81">
        <v>40777334</v>
      </c>
      <c r="C81">
        <v>40777315</v>
      </c>
      <c r="D81">
        <v>38686926</v>
      </c>
      <c r="E81">
        <v>1</v>
      </c>
      <c r="F81">
        <v>1</v>
      </c>
      <c r="G81">
        <v>1</v>
      </c>
      <c r="H81">
        <v>2</v>
      </c>
      <c r="I81" t="s">
        <v>367</v>
      </c>
      <c r="J81" t="s">
        <v>368</v>
      </c>
      <c r="K81" t="s">
        <v>369</v>
      </c>
      <c r="L81">
        <v>1368</v>
      </c>
      <c r="N81">
        <v>1011</v>
      </c>
      <c r="O81" t="s">
        <v>325</v>
      </c>
      <c r="P81" t="s">
        <v>325</v>
      </c>
      <c r="Q81">
        <v>1</v>
      </c>
      <c r="X81">
        <v>0.09</v>
      </c>
      <c r="Y81">
        <v>0</v>
      </c>
      <c r="Z81">
        <v>91.76</v>
      </c>
      <c r="AA81">
        <v>10.35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0.09</v>
      </c>
      <c r="AH81">
        <v>2</v>
      </c>
      <c r="AI81">
        <v>40777320</v>
      </c>
      <c r="AJ81">
        <v>81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ROW(Source!A38)</f>
        <v>38</v>
      </c>
      <c r="B82">
        <v>40777335</v>
      </c>
      <c r="C82">
        <v>40777315</v>
      </c>
      <c r="D82">
        <v>38623631</v>
      </c>
      <c r="E82">
        <v>1</v>
      </c>
      <c r="F82">
        <v>1</v>
      </c>
      <c r="G82">
        <v>1</v>
      </c>
      <c r="H82">
        <v>3</v>
      </c>
      <c r="I82" t="s">
        <v>395</v>
      </c>
      <c r="J82" t="s">
        <v>396</v>
      </c>
      <c r="K82" t="s">
        <v>397</v>
      </c>
      <c r="L82">
        <v>1348</v>
      </c>
      <c r="N82">
        <v>1009</v>
      </c>
      <c r="O82" t="s">
        <v>119</v>
      </c>
      <c r="P82" t="s">
        <v>119</v>
      </c>
      <c r="Q82">
        <v>1000</v>
      </c>
      <c r="X82">
        <v>5.9999999999999995E-4</v>
      </c>
      <c r="Y82">
        <v>70197</v>
      </c>
      <c r="Z82">
        <v>0</v>
      </c>
      <c r="AA82">
        <v>0</v>
      </c>
      <c r="AB82">
        <v>0</v>
      </c>
      <c r="AC82">
        <v>0</v>
      </c>
      <c r="AD82">
        <v>1</v>
      </c>
      <c r="AE82">
        <v>0</v>
      </c>
      <c r="AF82" t="s">
        <v>19</v>
      </c>
      <c r="AG82">
        <v>0</v>
      </c>
      <c r="AH82">
        <v>2</v>
      </c>
      <c r="AI82">
        <v>40777321</v>
      </c>
      <c r="AJ82">
        <v>82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ROW(Source!A38)</f>
        <v>38</v>
      </c>
      <c r="B83">
        <v>40777336</v>
      </c>
      <c r="C83">
        <v>40777315</v>
      </c>
      <c r="D83">
        <v>38621511</v>
      </c>
      <c r="E83">
        <v>1</v>
      </c>
      <c r="F83">
        <v>1</v>
      </c>
      <c r="G83">
        <v>1</v>
      </c>
      <c r="H83">
        <v>3</v>
      </c>
      <c r="I83" t="s">
        <v>418</v>
      </c>
      <c r="J83" t="s">
        <v>419</v>
      </c>
      <c r="K83" t="s">
        <v>420</v>
      </c>
      <c r="L83">
        <v>1346</v>
      </c>
      <c r="N83">
        <v>1009</v>
      </c>
      <c r="O83" t="s">
        <v>141</v>
      </c>
      <c r="P83" t="s">
        <v>141</v>
      </c>
      <c r="Q83">
        <v>1</v>
      </c>
      <c r="X83">
        <v>0.18</v>
      </c>
      <c r="Y83">
        <v>11.46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19</v>
      </c>
      <c r="AG83">
        <v>0</v>
      </c>
      <c r="AH83">
        <v>2</v>
      </c>
      <c r="AI83">
        <v>40777322</v>
      </c>
      <c r="AJ83">
        <v>83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</row>
    <row r="84" spans="1:44" x14ac:dyDescent="0.2">
      <c r="A84">
        <f>ROW(Source!A38)</f>
        <v>38</v>
      </c>
      <c r="B84">
        <v>40777337</v>
      </c>
      <c r="C84">
        <v>40777315</v>
      </c>
      <c r="D84">
        <v>38627343</v>
      </c>
      <c r="E84">
        <v>1</v>
      </c>
      <c r="F84">
        <v>1</v>
      </c>
      <c r="G84">
        <v>1</v>
      </c>
      <c r="H84">
        <v>3</v>
      </c>
      <c r="I84" t="s">
        <v>421</v>
      </c>
      <c r="J84" t="s">
        <v>422</v>
      </c>
      <c r="K84" t="s">
        <v>423</v>
      </c>
      <c r="L84">
        <v>1346</v>
      </c>
      <c r="N84">
        <v>1009</v>
      </c>
      <c r="O84" t="s">
        <v>141</v>
      </c>
      <c r="P84" t="s">
        <v>141</v>
      </c>
      <c r="Q84">
        <v>1</v>
      </c>
      <c r="X84">
        <v>26.96</v>
      </c>
      <c r="Y84">
        <v>9.49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19</v>
      </c>
      <c r="AG84">
        <v>0</v>
      </c>
      <c r="AH84">
        <v>2</v>
      </c>
      <c r="AI84">
        <v>40777323</v>
      </c>
      <c r="AJ84">
        <v>84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</row>
    <row r="85" spans="1:44" x14ac:dyDescent="0.2">
      <c r="A85">
        <f>ROW(Source!A38)</f>
        <v>38</v>
      </c>
      <c r="B85">
        <v>40777338</v>
      </c>
      <c r="C85">
        <v>40777315</v>
      </c>
      <c r="D85">
        <v>38621251</v>
      </c>
      <c r="E85">
        <v>1</v>
      </c>
      <c r="F85">
        <v>1</v>
      </c>
      <c r="G85">
        <v>1</v>
      </c>
      <c r="H85">
        <v>3</v>
      </c>
      <c r="I85" t="s">
        <v>424</v>
      </c>
      <c r="J85" t="s">
        <v>425</v>
      </c>
      <c r="K85" t="s">
        <v>426</v>
      </c>
      <c r="L85">
        <v>1346</v>
      </c>
      <c r="N85">
        <v>1009</v>
      </c>
      <c r="O85" t="s">
        <v>141</v>
      </c>
      <c r="P85" t="s">
        <v>141</v>
      </c>
      <c r="Q85">
        <v>1</v>
      </c>
      <c r="X85">
        <v>0.1</v>
      </c>
      <c r="Y85">
        <v>135.05000000000001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19</v>
      </c>
      <c r="AG85">
        <v>0</v>
      </c>
      <c r="AH85">
        <v>2</v>
      </c>
      <c r="AI85">
        <v>40777324</v>
      </c>
      <c r="AJ85">
        <v>85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</row>
    <row r="86" spans="1:44" x14ac:dyDescent="0.2">
      <c r="A86">
        <f>ROW(Source!A38)</f>
        <v>38</v>
      </c>
      <c r="B86">
        <v>40777339</v>
      </c>
      <c r="C86">
        <v>40777315</v>
      </c>
      <c r="D86">
        <v>38623941</v>
      </c>
      <c r="E86">
        <v>1</v>
      </c>
      <c r="F86">
        <v>1</v>
      </c>
      <c r="G86">
        <v>1</v>
      </c>
      <c r="H86">
        <v>3</v>
      </c>
      <c r="I86" t="s">
        <v>370</v>
      </c>
      <c r="J86" t="s">
        <v>371</v>
      </c>
      <c r="K86" t="s">
        <v>372</v>
      </c>
      <c r="L86">
        <v>1308</v>
      </c>
      <c r="N86">
        <v>1003</v>
      </c>
      <c r="O86" t="s">
        <v>373</v>
      </c>
      <c r="P86" t="s">
        <v>373</v>
      </c>
      <c r="Q86">
        <v>100</v>
      </c>
      <c r="X86">
        <v>0.2</v>
      </c>
      <c r="Y86">
        <v>121.8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19</v>
      </c>
      <c r="AG86">
        <v>0</v>
      </c>
      <c r="AH86">
        <v>2</v>
      </c>
      <c r="AI86">
        <v>40777325</v>
      </c>
      <c r="AJ86">
        <v>86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</row>
    <row r="87" spans="1:44" x14ac:dyDescent="0.2">
      <c r="A87">
        <f>ROW(Source!A38)</f>
        <v>38</v>
      </c>
      <c r="B87">
        <v>40777340</v>
      </c>
      <c r="C87">
        <v>40777315</v>
      </c>
      <c r="D87">
        <v>38623980</v>
      </c>
      <c r="E87">
        <v>1</v>
      </c>
      <c r="F87">
        <v>1</v>
      </c>
      <c r="G87">
        <v>1</v>
      </c>
      <c r="H87">
        <v>3</v>
      </c>
      <c r="I87" t="s">
        <v>401</v>
      </c>
      <c r="J87" t="s">
        <v>402</v>
      </c>
      <c r="K87" t="s">
        <v>403</v>
      </c>
      <c r="L87">
        <v>1346</v>
      </c>
      <c r="N87">
        <v>1009</v>
      </c>
      <c r="O87" t="s">
        <v>141</v>
      </c>
      <c r="P87" t="s">
        <v>141</v>
      </c>
      <c r="Q87">
        <v>1</v>
      </c>
      <c r="X87">
        <v>1.6</v>
      </c>
      <c r="Y87">
        <v>31</v>
      </c>
      <c r="Z87">
        <v>0</v>
      </c>
      <c r="AA87">
        <v>0</v>
      </c>
      <c r="AB87">
        <v>0</v>
      </c>
      <c r="AC87">
        <v>0</v>
      </c>
      <c r="AD87">
        <v>1</v>
      </c>
      <c r="AE87">
        <v>0</v>
      </c>
      <c r="AF87" t="s">
        <v>19</v>
      </c>
      <c r="AG87">
        <v>0</v>
      </c>
      <c r="AH87">
        <v>2</v>
      </c>
      <c r="AI87">
        <v>40777326</v>
      </c>
      <c r="AJ87">
        <v>87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ROW(Source!A38)</f>
        <v>38</v>
      </c>
      <c r="B88">
        <v>40777341</v>
      </c>
      <c r="C88">
        <v>40777315</v>
      </c>
      <c r="D88">
        <v>38634325</v>
      </c>
      <c r="E88">
        <v>1</v>
      </c>
      <c r="F88">
        <v>1</v>
      </c>
      <c r="G88">
        <v>1</v>
      </c>
      <c r="H88">
        <v>3</v>
      </c>
      <c r="I88" t="s">
        <v>427</v>
      </c>
      <c r="J88" t="s">
        <v>428</v>
      </c>
      <c r="K88" t="s">
        <v>429</v>
      </c>
      <c r="L88">
        <v>1355</v>
      </c>
      <c r="N88">
        <v>1010</v>
      </c>
      <c r="O88" t="s">
        <v>430</v>
      </c>
      <c r="P88" t="s">
        <v>430</v>
      </c>
      <c r="Q88">
        <v>100</v>
      </c>
      <c r="X88">
        <v>1.02</v>
      </c>
      <c r="Y88">
        <v>63.93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0</v>
      </c>
      <c r="AF88" t="s">
        <v>19</v>
      </c>
      <c r="AG88">
        <v>0</v>
      </c>
      <c r="AH88">
        <v>2</v>
      </c>
      <c r="AI88">
        <v>40777327</v>
      </c>
      <c r="AJ88">
        <v>88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ROW(Source!A38)</f>
        <v>38</v>
      </c>
      <c r="B89">
        <v>40777342</v>
      </c>
      <c r="C89">
        <v>40777315</v>
      </c>
      <c r="D89">
        <v>38684468</v>
      </c>
      <c r="E89">
        <v>1</v>
      </c>
      <c r="F89">
        <v>1</v>
      </c>
      <c r="G89">
        <v>1</v>
      </c>
      <c r="H89">
        <v>3</v>
      </c>
      <c r="I89" t="s">
        <v>431</v>
      </c>
      <c r="J89" t="s">
        <v>432</v>
      </c>
      <c r="K89" t="s">
        <v>433</v>
      </c>
      <c r="L89">
        <v>1346</v>
      </c>
      <c r="N89">
        <v>1009</v>
      </c>
      <c r="O89" t="s">
        <v>141</v>
      </c>
      <c r="P89" t="s">
        <v>141</v>
      </c>
      <c r="Q89">
        <v>1</v>
      </c>
      <c r="X89">
        <v>0.6</v>
      </c>
      <c r="Y89">
        <v>45.9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0</v>
      </c>
      <c r="AF89" t="s">
        <v>19</v>
      </c>
      <c r="AG89">
        <v>0</v>
      </c>
      <c r="AH89">
        <v>2</v>
      </c>
      <c r="AI89">
        <v>40777328</v>
      </c>
      <c r="AJ89">
        <v>89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ROW(Source!A38)</f>
        <v>38</v>
      </c>
      <c r="B90">
        <v>40777343</v>
      </c>
      <c r="C90">
        <v>40777315</v>
      </c>
      <c r="D90">
        <v>38684560</v>
      </c>
      <c r="E90">
        <v>1</v>
      </c>
      <c r="F90">
        <v>1</v>
      </c>
      <c r="G90">
        <v>1</v>
      </c>
      <c r="H90">
        <v>3</v>
      </c>
      <c r="I90" t="s">
        <v>354</v>
      </c>
      <c r="J90" t="s">
        <v>355</v>
      </c>
      <c r="K90" t="s">
        <v>356</v>
      </c>
      <c r="L90">
        <v>1374</v>
      </c>
      <c r="N90">
        <v>1013</v>
      </c>
      <c r="O90" t="s">
        <v>357</v>
      </c>
      <c r="P90" t="s">
        <v>357</v>
      </c>
      <c r="Q90">
        <v>1</v>
      </c>
      <c r="X90">
        <v>18.54</v>
      </c>
      <c r="Y90">
        <v>1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19</v>
      </c>
      <c r="AG90">
        <v>0</v>
      </c>
      <c r="AH90">
        <v>2</v>
      </c>
      <c r="AI90">
        <v>40777329</v>
      </c>
      <c r="AJ90">
        <v>90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ROW(Source!A39)</f>
        <v>39</v>
      </c>
      <c r="B91">
        <v>40777362</v>
      </c>
      <c r="C91">
        <v>40777344</v>
      </c>
      <c r="D91">
        <v>23146451</v>
      </c>
      <c r="E91">
        <v>1</v>
      </c>
      <c r="F91">
        <v>1</v>
      </c>
      <c r="G91">
        <v>1</v>
      </c>
      <c r="H91">
        <v>1</v>
      </c>
      <c r="I91" t="s">
        <v>434</v>
      </c>
      <c r="J91" t="s">
        <v>3</v>
      </c>
      <c r="K91" t="s">
        <v>435</v>
      </c>
      <c r="L91">
        <v>1369</v>
      </c>
      <c r="N91">
        <v>1013</v>
      </c>
      <c r="O91" t="s">
        <v>319</v>
      </c>
      <c r="P91" t="s">
        <v>319</v>
      </c>
      <c r="Q91">
        <v>1</v>
      </c>
      <c r="X91">
        <v>83.71</v>
      </c>
      <c r="Y91">
        <v>0</v>
      </c>
      <c r="Z91">
        <v>0</v>
      </c>
      <c r="AA91">
        <v>0</v>
      </c>
      <c r="AB91">
        <v>9.4</v>
      </c>
      <c r="AC91">
        <v>0</v>
      </c>
      <c r="AD91">
        <v>1</v>
      </c>
      <c r="AE91">
        <v>1</v>
      </c>
      <c r="AF91" t="s">
        <v>3</v>
      </c>
      <c r="AG91">
        <v>83.71</v>
      </c>
      <c r="AH91">
        <v>2</v>
      </c>
      <c r="AI91">
        <v>40777345</v>
      </c>
      <c r="AJ91">
        <v>91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ROW(Source!A39)</f>
        <v>39</v>
      </c>
      <c r="B92">
        <v>40777363</v>
      </c>
      <c r="C92">
        <v>40777344</v>
      </c>
      <c r="D92">
        <v>121548</v>
      </c>
      <c r="E92">
        <v>1</v>
      </c>
      <c r="F92">
        <v>1</v>
      </c>
      <c r="G92">
        <v>1</v>
      </c>
      <c r="H92">
        <v>1</v>
      </c>
      <c r="I92" t="s">
        <v>26</v>
      </c>
      <c r="J92" t="s">
        <v>3</v>
      </c>
      <c r="K92" t="s">
        <v>320</v>
      </c>
      <c r="L92">
        <v>608254</v>
      </c>
      <c r="N92">
        <v>1013</v>
      </c>
      <c r="O92" t="s">
        <v>321</v>
      </c>
      <c r="P92" t="s">
        <v>321</v>
      </c>
      <c r="Q92">
        <v>1</v>
      </c>
      <c r="X92">
        <v>71.78</v>
      </c>
      <c r="Y92">
        <v>0</v>
      </c>
      <c r="Z92">
        <v>0</v>
      </c>
      <c r="AA92">
        <v>0</v>
      </c>
      <c r="AB92">
        <v>0</v>
      </c>
      <c r="AC92">
        <v>0</v>
      </c>
      <c r="AD92">
        <v>1</v>
      </c>
      <c r="AE92">
        <v>2</v>
      </c>
      <c r="AF92" t="s">
        <v>3</v>
      </c>
      <c r="AG92">
        <v>71.78</v>
      </c>
      <c r="AH92">
        <v>2</v>
      </c>
      <c r="AI92">
        <v>40777346</v>
      </c>
      <c r="AJ92">
        <v>92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ROW(Source!A39)</f>
        <v>39</v>
      </c>
      <c r="B93">
        <v>40777364</v>
      </c>
      <c r="C93">
        <v>40777344</v>
      </c>
      <c r="D93">
        <v>38685084</v>
      </c>
      <c r="E93">
        <v>1</v>
      </c>
      <c r="F93">
        <v>1</v>
      </c>
      <c r="G93">
        <v>1</v>
      </c>
      <c r="H93">
        <v>2</v>
      </c>
      <c r="I93" t="s">
        <v>436</v>
      </c>
      <c r="J93" t="s">
        <v>437</v>
      </c>
      <c r="K93" t="s">
        <v>438</v>
      </c>
      <c r="L93">
        <v>1368</v>
      </c>
      <c r="N93">
        <v>1011</v>
      </c>
      <c r="O93" t="s">
        <v>325</v>
      </c>
      <c r="P93" t="s">
        <v>325</v>
      </c>
      <c r="Q93">
        <v>1</v>
      </c>
      <c r="X93">
        <v>7.61</v>
      </c>
      <c r="Y93">
        <v>0</v>
      </c>
      <c r="Z93">
        <v>183.79</v>
      </c>
      <c r="AA93">
        <v>12.1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7.61</v>
      </c>
      <c r="AH93">
        <v>2</v>
      </c>
      <c r="AI93">
        <v>40777347</v>
      </c>
      <c r="AJ93">
        <v>93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</row>
    <row r="94" spans="1:44" x14ac:dyDescent="0.2">
      <c r="A94">
        <f>ROW(Source!A39)</f>
        <v>39</v>
      </c>
      <c r="B94">
        <v>40777365</v>
      </c>
      <c r="C94">
        <v>40777344</v>
      </c>
      <c r="D94">
        <v>38685269</v>
      </c>
      <c r="E94">
        <v>1</v>
      </c>
      <c r="F94">
        <v>1</v>
      </c>
      <c r="G94">
        <v>1</v>
      </c>
      <c r="H94">
        <v>2</v>
      </c>
      <c r="I94" t="s">
        <v>439</v>
      </c>
      <c r="J94" t="s">
        <v>440</v>
      </c>
      <c r="K94" t="s">
        <v>441</v>
      </c>
      <c r="L94">
        <v>1368</v>
      </c>
      <c r="N94">
        <v>1011</v>
      </c>
      <c r="O94" t="s">
        <v>325</v>
      </c>
      <c r="P94" t="s">
        <v>325</v>
      </c>
      <c r="Q94">
        <v>1</v>
      </c>
      <c r="X94">
        <v>31.43</v>
      </c>
      <c r="Y94">
        <v>0</v>
      </c>
      <c r="Z94">
        <v>29.26</v>
      </c>
      <c r="AA94">
        <v>10.35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31.43</v>
      </c>
      <c r="AH94">
        <v>2</v>
      </c>
      <c r="AI94">
        <v>40777348</v>
      </c>
      <c r="AJ94">
        <v>94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</row>
    <row r="95" spans="1:44" x14ac:dyDescent="0.2">
      <c r="A95">
        <f>ROW(Source!A39)</f>
        <v>39</v>
      </c>
      <c r="B95">
        <v>40777366</v>
      </c>
      <c r="C95">
        <v>40777344</v>
      </c>
      <c r="D95">
        <v>38685278</v>
      </c>
      <c r="E95">
        <v>1</v>
      </c>
      <c r="F95">
        <v>1</v>
      </c>
      <c r="G95">
        <v>1</v>
      </c>
      <c r="H95">
        <v>2</v>
      </c>
      <c r="I95" t="s">
        <v>442</v>
      </c>
      <c r="J95" t="s">
        <v>443</v>
      </c>
      <c r="K95" t="s">
        <v>444</v>
      </c>
      <c r="L95">
        <v>1368</v>
      </c>
      <c r="N95">
        <v>1011</v>
      </c>
      <c r="O95" t="s">
        <v>325</v>
      </c>
      <c r="P95" t="s">
        <v>325</v>
      </c>
      <c r="Q95">
        <v>1</v>
      </c>
      <c r="X95">
        <v>22.9</v>
      </c>
      <c r="Y95">
        <v>0</v>
      </c>
      <c r="Z95">
        <v>14.14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22.9</v>
      </c>
      <c r="AH95">
        <v>2</v>
      </c>
      <c r="AI95">
        <v>40777349</v>
      </c>
      <c r="AJ95">
        <v>95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</row>
    <row r="96" spans="1:44" x14ac:dyDescent="0.2">
      <c r="A96">
        <f>ROW(Source!A39)</f>
        <v>39</v>
      </c>
      <c r="B96">
        <v>40777367</v>
      </c>
      <c r="C96">
        <v>40777344</v>
      </c>
      <c r="D96">
        <v>38685289</v>
      </c>
      <c r="E96">
        <v>1</v>
      </c>
      <c r="F96">
        <v>1</v>
      </c>
      <c r="G96">
        <v>1</v>
      </c>
      <c r="H96">
        <v>2</v>
      </c>
      <c r="I96" t="s">
        <v>445</v>
      </c>
      <c r="J96" t="s">
        <v>446</v>
      </c>
      <c r="K96" t="s">
        <v>447</v>
      </c>
      <c r="L96">
        <v>1368</v>
      </c>
      <c r="N96">
        <v>1011</v>
      </c>
      <c r="O96" t="s">
        <v>325</v>
      </c>
      <c r="P96" t="s">
        <v>325</v>
      </c>
      <c r="Q96">
        <v>1</v>
      </c>
      <c r="X96">
        <v>8.5</v>
      </c>
      <c r="Y96">
        <v>0</v>
      </c>
      <c r="Z96">
        <v>1.43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8.5</v>
      </c>
      <c r="AH96">
        <v>2</v>
      </c>
      <c r="AI96">
        <v>40777350</v>
      </c>
      <c r="AJ96">
        <v>96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</row>
    <row r="97" spans="1:44" x14ac:dyDescent="0.2">
      <c r="A97">
        <f>ROW(Source!A39)</f>
        <v>39</v>
      </c>
      <c r="B97">
        <v>40777368</v>
      </c>
      <c r="C97">
        <v>40777344</v>
      </c>
      <c r="D97">
        <v>38685389</v>
      </c>
      <c r="E97">
        <v>1</v>
      </c>
      <c r="F97">
        <v>1</v>
      </c>
      <c r="G97">
        <v>1</v>
      </c>
      <c r="H97">
        <v>2</v>
      </c>
      <c r="I97" t="s">
        <v>448</v>
      </c>
      <c r="J97" t="s">
        <v>449</v>
      </c>
      <c r="K97" t="s">
        <v>450</v>
      </c>
      <c r="L97">
        <v>1368</v>
      </c>
      <c r="N97">
        <v>1011</v>
      </c>
      <c r="O97" t="s">
        <v>325</v>
      </c>
      <c r="P97" t="s">
        <v>325</v>
      </c>
      <c r="Q97">
        <v>1</v>
      </c>
      <c r="X97">
        <v>0.34</v>
      </c>
      <c r="Y97">
        <v>0</v>
      </c>
      <c r="Z97">
        <v>108.62</v>
      </c>
      <c r="AA97">
        <v>10.35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0.34</v>
      </c>
      <c r="AH97">
        <v>2</v>
      </c>
      <c r="AI97">
        <v>40777351</v>
      </c>
      <c r="AJ97">
        <v>97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</row>
    <row r="98" spans="1:44" x14ac:dyDescent="0.2">
      <c r="A98">
        <f>ROW(Source!A39)</f>
        <v>39</v>
      </c>
      <c r="B98">
        <v>40777369</v>
      </c>
      <c r="C98">
        <v>40777344</v>
      </c>
      <c r="D98">
        <v>38685729</v>
      </c>
      <c r="E98">
        <v>1</v>
      </c>
      <c r="F98">
        <v>1</v>
      </c>
      <c r="G98">
        <v>1</v>
      </c>
      <c r="H98">
        <v>2</v>
      </c>
      <c r="I98" t="s">
        <v>451</v>
      </c>
      <c r="J98" t="s">
        <v>452</v>
      </c>
      <c r="K98" t="s">
        <v>453</v>
      </c>
      <c r="L98">
        <v>1368</v>
      </c>
      <c r="N98">
        <v>1011</v>
      </c>
      <c r="O98" t="s">
        <v>325</v>
      </c>
      <c r="P98" t="s">
        <v>325</v>
      </c>
      <c r="Q98">
        <v>1</v>
      </c>
      <c r="X98">
        <v>2.4</v>
      </c>
      <c r="Y98">
        <v>0</v>
      </c>
      <c r="Z98">
        <v>119.25</v>
      </c>
      <c r="AA98">
        <v>10.35</v>
      </c>
      <c r="AB98">
        <v>0</v>
      </c>
      <c r="AC98">
        <v>0</v>
      </c>
      <c r="AD98">
        <v>1</v>
      </c>
      <c r="AE98">
        <v>0</v>
      </c>
      <c r="AF98" t="s">
        <v>3</v>
      </c>
      <c r="AG98">
        <v>2.4</v>
      </c>
      <c r="AH98">
        <v>2</v>
      </c>
      <c r="AI98">
        <v>40777352</v>
      </c>
      <c r="AJ98">
        <v>98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</row>
    <row r="99" spans="1:44" x14ac:dyDescent="0.2">
      <c r="A99">
        <f>ROW(Source!A39)</f>
        <v>39</v>
      </c>
      <c r="B99">
        <v>40777370</v>
      </c>
      <c r="C99">
        <v>40777344</v>
      </c>
      <c r="D99">
        <v>38686400</v>
      </c>
      <c r="E99">
        <v>1</v>
      </c>
      <c r="F99">
        <v>1</v>
      </c>
      <c r="G99">
        <v>1</v>
      </c>
      <c r="H99">
        <v>2</v>
      </c>
      <c r="I99" t="s">
        <v>454</v>
      </c>
      <c r="J99" t="s">
        <v>455</v>
      </c>
      <c r="K99" t="s">
        <v>456</v>
      </c>
      <c r="L99">
        <v>1368</v>
      </c>
      <c r="N99">
        <v>1011</v>
      </c>
      <c r="O99" t="s">
        <v>325</v>
      </c>
      <c r="P99" t="s">
        <v>325</v>
      </c>
      <c r="Q99">
        <v>1</v>
      </c>
      <c r="X99">
        <v>30</v>
      </c>
      <c r="Y99">
        <v>0</v>
      </c>
      <c r="Z99">
        <v>1343.51</v>
      </c>
      <c r="AA99">
        <v>13.78</v>
      </c>
      <c r="AB99">
        <v>0</v>
      </c>
      <c r="AC99">
        <v>0</v>
      </c>
      <c r="AD99">
        <v>1</v>
      </c>
      <c r="AE99">
        <v>0</v>
      </c>
      <c r="AF99" t="s">
        <v>3</v>
      </c>
      <c r="AG99">
        <v>30</v>
      </c>
      <c r="AH99">
        <v>2</v>
      </c>
      <c r="AI99">
        <v>40777353</v>
      </c>
      <c r="AJ99">
        <v>99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ROW(Source!A39)</f>
        <v>39</v>
      </c>
      <c r="B100">
        <v>40777371</v>
      </c>
      <c r="C100">
        <v>40777344</v>
      </c>
      <c r="D100">
        <v>38686933</v>
      </c>
      <c r="E100">
        <v>1</v>
      </c>
      <c r="F100">
        <v>1</v>
      </c>
      <c r="G100">
        <v>1</v>
      </c>
      <c r="H100">
        <v>2</v>
      </c>
      <c r="I100" t="s">
        <v>457</v>
      </c>
      <c r="J100" t="s">
        <v>458</v>
      </c>
      <c r="K100" t="s">
        <v>459</v>
      </c>
      <c r="L100">
        <v>1368</v>
      </c>
      <c r="N100">
        <v>1011</v>
      </c>
      <c r="O100" t="s">
        <v>325</v>
      </c>
      <c r="P100" t="s">
        <v>325</v>
      </c>
      <c r="Q100">
        <v>1</v>
      </c>
      <c r="X100">
        <v>0.34</v>
      </c>
      <c r="Y100">
        <v>0</v>
      </c>
      <c r="Z100">
        <v>92.46</v>
      </c>
      <c r="AA100">
        <v>10.35</v>
      </c>
      <c r="AB100">
        <v>0</v>
      </c>
      <c r="AC100">
        <v>0</v>
      </c>
      <c r="AD100">
        <v>1</v>
      </c>
      <c r="AE100">
        <v>0</v>
      </c>
      <c r="AF100" t="s">
        <v>3</v>
      </c>
      <c r="AG100">
        <v>0.34</v>
      </c>
      <c r="AH100">
        <v>2</v>
      </c>
      <c r="AI100">
        <v>40777354</v>
      </c>
      <c r="AJ100">
        <v>100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ROW(Source!A39)</f>
        <v>39</v>
      </c>
      <c r="B101">
        <v>40777372</v>
      </c>
      <c r="C101">
        <v>40777344</v>
      </c>
      <c r="D101">
        <v>38620846</v>
      </c>
      <c r="E101">
        <v>1</v>
      </c>
      <c r="F101">
        <v>1</v>
      </c>
      <c r="G101">
        <v>1</v>
      </c>
      <c r="H101">
        <v>3</v>
      </c>
      <c r="I101" t="s">
        <v>460</v>
      </c>
      <c r="J101" t="s">
        <v>461</v>
      </c>
      <c r="K101" t="s">
        <v>462</v>
      </c>
      <c r="L101">
        <v>1339</v>
      </c>
      <c r="N101">
        <v>1007</v>
      </c>
      <c r="O101" t="s">
        <v>339</v>
      </c>
      <c r="P101" t="s">
        <v>339</v>
      </c>
      <c r="Q101">
        <v>1</v>
      </c>
      <c r="X101">
        <v>5.62</v>
      </c>
      <c r="Y101">
        <v>6.22</v>
      </c>
      <c r="Z101">
        <v>0</v>
      </c>
      <c r="AA101">
        <v>0</v>
      </c>
      <c r="AB101">
        <v>0</v>
      </c>
      <c r="AC101">
        <v>0</v>
      </c>
      <c r="AD101">
        <v>1</v>
      </c>
      <c r="AE101">
        <v>0</v>
      </c>
      <c r="AF101" t="s">
        <v>19</v>
      </c>
      <c r="AG101">
        <v>0</v>
      </c>
      <c r="AH101">
        <v>2</v>
      </c>
      <c r="AI101">
        <v>40777355</v>
      </c>
      <c r="AJ101">
        <v>101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ROW(Source!A39)</f>
        <v>39</v>
      </c>
      <c r="B102">
        <v>40777373</v>
      </c>
      <c r="C102">
        <v>40777344</v>
      </c>
      <c r="D102">
        <v>38627134</v>
      </c>
      <c r="E102">
        <v>1</v>
      </c>
      <c r="F102">
        <v>1</v>
      </c>
      <c r="G102">
        <v>1</v>
      </c>
      <c r="H102">
        <v>3</v>
      </c>
      <c r="I102" t="s">
        <v>463</v>
      </c>
      <c r="J102" t="s">
        <v>464</v>
      </c>
      <c r="K102" t="s">
        <v>465</v>
      </c>
      <c r="L102">
        <v>1348</v>
      </c>
      <c r="N102">
        <v>1009</v>
      </c>
      <c r="O102" t="s">
        <v>119</v>
      </c>
      <c r="P102" t="s">
        <v>119</v>
      </c>
      <c r="Q102">
        <v>1000</v>
      </c>
      <c r="X102">
        <v>3.6799999999999999E-2</v>
      </c>
      <c r="Y102">
        <v>10806</v>
      </c>
      <c r="Z102">
        <v>0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19</v>
      </c>
      <c r="AG102">
        <v>0</v>
      </c>
      <c r="AH102">
        <v>2</v>
      </c>
      <c r="AI102">
        <v>40777356</v>
      </c>
      <c r="AJ102">
        <v>102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ROW(Source!A39)</f>
        <v>39</v>
      </c>
      <c r="B103">
        <v>40777374</v>
      </c>
      <c r="C103">
        <v>40777344</v>
      </c>
      <c r="D103">
        <v>38620835</v>
      </c>
      <c r="E103">
        <v>1</v>
      </c>
      <c r="F103">
        <v>1</v>
      </c>
      <c r="G103">
        <v>1</v>
      </c>
      <c r="H103">
        <v>3</v>
      </c>
      <c r="I103" t="s">
        <v>466</v>
      </c>
      <c r="J103" t="s">
        <v>467</v>
      </c>
      <c r="K103" t="s">
        <v>468</v>
      </c>
      <c r="L103">
        <v>1339</v>
      </c>
      <c r="N103">
        <v>1007</v>
      </c>
      <c r="O103" t="s">
        <v>339</v>
      </c>
      <c r="P103" t="s">
        <v>339</v>
      </c>
      <c r="Q103">
        <v>1</v>
      </c>
      <c r="X103">
        <v>1.88</v>
      </c>
      <c r="Y103">
        <v>38.51</v>
      </c>
      <c r="Z103">
        <v>0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19</v>
      </c>
      <c r="AG103">
        <v>0</v>
      </c>
      <c r="AH103">
        <v>2</v>
      </c>
      <c r="AI103">
        <v>40777357</v>
      </c>
      <c r="AJ103">
        <v>103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ROW(Source!A39)</f>
        <v>39</v>
      </c>
      <c r="B104">
        <v>40777375</v>
      </c>
      <c r="C104">
        <v>40777344</v>
      </c>
      <c r="D104">
        <v>38629729</v>
      </c>
      <c r="E104">
        <v>1</v>
      </c>
      <c r="F104">
        <v>1</v>
      </c>
      <c r="G104">
        <v>1</v>
      </c>
      <c r="H104">
        <v>3</v>
      </c>
      <c r="I104" t="s">
        <v>112</v>
      </c>
      <c r="J104" t="s">
        <v>115</v>
      </c>
      <c r="K104" t="s">
        <v>113</v>
      </c>
      <c r="L104">
        <v>1301</v>
      </c>
      <c r="N104">
        <v>1003</v>
      </c>
      <c r="O104" t="s">
        <v>114</v>
      </c>
      <c r="P104" t="s">
        <v>114</v>
      </c>
      <c r="Q104">
        <v>1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1</v>
      </c>
      <c r="AD104">
        <v>0</v>
      </c>
      <c r="AE104">
        <v>0</v>
      </c>
      <c r="AF104" t="s">
        <v>19</v>
      </c>
      <c r="AG104">
        <v>0</v>
      </c>
      <c r="AH104">
        <v>2</v>
      </c>
      <c r="AI104">
        <v>40777358</v>
      </c>
      <c r="AJ104">
        <v>104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ROW(Source!A39)</f>
        <v>39</v>
      </c>
      <c r="B105">
        <v>40777376</v>
      </c>
      <c r="C105">
        <v>40777344</v>
      </c>
      <c r="D105">
        <v>38634137</v>
      </c>
      <c r="E105">
        <v>1</v>
      </c>
      <c r="F105">
        <v>1</v>
      </c>
      <c r="G105">
        <v>1</v>
      </c>
      <c r="H105">
        <v>3</v>
      </c>
      <c r="I105" t="s">
        <v>117</v>
      </c>
      <c r="J105" t="s">
        <v>120</v>
      </c>
      <c r="K105" t="s">
        <v>118</v>
      </c>
      <c r="L105">
        <v>1348</v>
      </c>
      <c r="N105">
        <v>1009</v>
      </c>
      <c r="O105" t="s">
        <v>119</v>
      </c>
      <c r="P105" t="s">
        <v>119</v>
      </c>
      <c r="Q105">
        <v>1000</v>
      </c>
      <c r="X105">
        <v>0</v>
      </c>
      <c r="Y105">
        <v>65427.32</v>
      </c>
      <c r="Z105">
        <v>0</v>
      </c>
      <c r="AA105">
        <v>0</v>
      </c>
      <c r="AB105">
        <v>0</v>
      </c>
      <c r="AC105">
        <v>1</v>
      </c>
      <c r="AD105">
        <v>0</v>
      </c>
      <c r="AE105">
        <v>0</v>
      </c>
      <c r="AF105" t="s">
        <v>19</v>
      </c>
      <c r="AG105">
        <v>0</v>
      </c>
      <c r="AH105">
        <v>2</v>
      </c>
      <c r="AI105">
        <v>40777359</v>
      </c>
      <c r="AJ105">
        <v>105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</row>
    <row r="106" spans="1:44" x14ac:dyDescent="0.2">
      <c r="A106">
        <f>ROW(Source!A39)</f>
        <v>39</v>
      </c>
      <c r="B106">
        <v>40777377</v>
      </c>
      <c r="C106">
        <v>40777344</v>
      </c>
      <c r="D106">
        <v>38663627</v>
      </c>
      <c r="E106">
        <v>1</v>
      </c>
      <c r="F106">
        <v>1</v>
      </c>
      <c r="G106">
        <v>1</v>
      </c>
      <c r="H106">
        <v>3</v>
      </c>
      <c r="I106" t="s">
        <v>122</v>
      </c>
      <c r="J106" t="s">
        <v>124</v>
      </c>
      <c r="K106" t="s">
        <v>123</v>
      </c>
      <c r="L106">
        <v>1348</v>
      </c>
      <c r="N106">
        <v>1009</v>
      </c>
      <c r="O106" t="s">
        <v>119</v>
      </c>
      <c r="P106" t="s">
        <v>119</v>
      </c>
      <c r="Q106">
        <v>1000</v>
      </c>
      <c r="X106">
        <v>0</v>
      </c>
      <c r="Y106">
        <v>728</v>
      </c>
      <c r="Z106">
        <v>0</v>
      </c>
      <c r="AA106">
        <v>0</v>
      </c>
      <c r="AB106">
        <v>0</v>
      </c>
      <c r="AC106">
        <v>1</v>
      </c>
      <c r="AD106">
        <v>0</v>
      </c>
      <c r="AE106">
        <v>0</v>
      </c>
      <c r="AF106" t="s">
        <v>19</v>
      </c>
      <c r="AG106">
        <v>0</v>
      </c>
      <c r="AH106">
        <v>2</v>
      </c>
      <c r="AI106">
        <v>40777360</v>
      </c>
      <c r="AJ106">
        <v>106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</row>
    <row r="107" spans="1:44" x14ac:dyDescent="0.2">
      <c r="A107">
        <f>ROW(Source!A39)</f>
        <v>39</v>
      </c>
      <c r="B107">
        <v>40777378</v>
      </c>
      <c r="C107">
        <v>40777344</v>
      </c>
      <c r="D107">
        <v>38664221</v>
      </c>
      <c r="E107">
        <v>1</v>
      </c>
      <c r="F107">
        <v>1</v>
      </c>
      <c r="G107">
        <v>1</v>
      </c>
      <c r="H107">
        <v>3</v>
      </c>
      <c r="I107" t="s">
        <v>469</v>
      </c>
      <c r="J107" t="s">
        <v>470</v>
      </c>
      <c r="K107" t="s">
        <v>471</v>
      </c>
      <c r="L107">
        <v>1339</v>
      </c>
      <c r="N107">
        <v>1007</v>
      </c>
      <c r="O107" t="s">
        <v>339</v>
      </c>
      <c r="P107" t="s">
        <v>339</v>
      </c>
      <c r="Q107">
        <v>1</v>
      </c>
      <c r="X107">
        <v>12.44</v>
      </c>
      <c r="Y107">
        <v>2.4700000000000002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19</v>
      </c>
      <c r="AG107">
        <v>0</v>
      </c>
      <c r="AH107">
        <v>2</v>
      </c>
      <c r="AI107">
        <v>40777361</v>
      </c>
      <c r="AJ107">
        <v>107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</row>
    <row r="108" spans="1:44" x14ac:dyDescent="0.2">
      <c r="A108">
        <f>ROW(Source!A43)</f>
        <v>43</v>
      </c>
      <c r="B108">
        <v>40777388</v>
      </c>
      <c r="C108">
        <v>40777382</v>
      </c>
      <c r="D108">
        <v>23132590</v>
      </c>
      <c r="E108">
        <v>1</v>
      </c>
      <c r="F108">
        <v>1</v>
      </c>
      <c r="G108">
        <v>1</v>
      </c>
      <c r="H108">
        <v>1</v>
      </c>
      <c r="I108" t="s">
        <v>472</v>
      </c>
      <c r="J108" t="s">
        <v>3</v>
      </c>
      <c r="K108" t="s">
        <v>473</v>
      </c>
      <c r="L108">
        <v>1369</v>
      </c>
      <c r="N108">
        <v>1013</v>
      </c>
      <c r="O108" t="s">
        <v>319</v>
      </c>
      <c r="P108" t="s">
        <v>319</v>
      </c>
      <c r="Q108">
        <v>1</v>
      </c>
      <c r="X108">
        <v>35.08</v>
      </c>
      <c r="Y108">
        <v>0</v>
      </c>
      <c r="Z108">
        <v>0</v>
      </c>
      <c r="AA108">
        <v>0</v>
      </c>
      <c r="AB108">
        <v>7.43</v>
      </c>
      <c r="AC108">
        <v>0</v>
      </c>
      <c r="AD108">
        <v>1</v>
      </c>
      <c r="AE108">
        <v>1</v>
      </c>
      <c r="AF108" t="s">
        <v>3</v>
      </c>
      <c r="AG108">
        <v>35.08</v>
      </c>
      <c r="AH108">
        <v>2</v>
      </c>
      <c r="AI108">
        <v>40777383</v>
      </c>
      <c r="AJ108">
        <v>108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</row>
    <row r="109" spans="1:44" x14ac:dyDescent="0.2">
      <c r="A109">
        <f>ROW(Source!A43)</f>
        <v>43</v>
      </c>
      <c r="B109">
        <v>40777389</v>
      </c>
      <c r="C109">
        <v>40777382</v>
      </c>
      <c r="D109">
        <v>121548</v>
      </c>
      <c r="E109">
        <v>1</v>
      </c>
      <c r="F109">
        <v>1</v>
      </c>
      <c r="G109">
        <v>1</v>
      </c>
      <c r="H109">
        <v>1</v>
      </c>
      <c r="I109" t="s">
        <v>26</v>
      </c>
      <c r="J109" t="s">
        <v>3</v>
      </c>
      <c r="K109" t="s">
        <v>320</v>
      </c>
      <c r="L109">
        <v>608254</v>
      </c>
      <c r="N109">
        <v>1013</v>
      </c>
      <c r="O109" t="s">
        <v>321</v>
      </c>
      <c r="P109" t="s">
        <v>321</v>
      </c>
      <c r="Q109">
        <v>1</v>
      </c>
      <c r="X109">
        <v>7.0000000000000007E-2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2</v>
      </c>
      <c r="AF109" t="s">
        <v>3</v>
      </c>
      <c r="AG109">
        <v>7.0000000000000007E-2</v>
      </c>
      <c r="AH109">
        <v>2</v>
      </c>
      <c r="AI109">
        <v>40777384</v>
      </c>
      <c r="AJ109">
        <v>109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</row>
    <row r="110" spans="1:44" x14ac:dyDescent="0.2">
      <c r="A110">
        <f>ROW(Source!A43)</f>
        <v>43</v>
      </c>
      <c r="B110">
        <v>40777390</v>
      </c>
      <c r="C110">
        <v>40777382</v>
      </c>
      <c r="D110">
        <v>38684988</v>
      </c>
      <c r="E110">
        <v>1</v>
      </c>
      <c r="F110">
        <v>1</v>
      </c>
      <c r="G110">
        <v>1</v>
      </c>
      <c r="H110">
        <v>2</v>
      </c>
      <c r="I110" t="s">
        <v>474</v>
      </c>
      <c r="J110" t="s">
        <v>475</v>
      </c>
      <c r="K110" t="s">
        <v>476</v>
      </c>
      <c r="L110">
        <v>1368</v>
      </c>
      <c r="N110">
        <v>1011</v>
      </c>
      <c r="O110" t="s">
        <v>325</v>
      </c>
      <c r="P110" t="s">
        <v>325</v>
      </c>
      <c r="Q110">
        <v>1</v>
      </c>
      <c r="X110">
        <v>7.0000000000000007E-2</v>
      </c>
      <c r="Y110">
        <v>0</v>
      </c>
      <c r="Z110">
        <v>72.239999999999995</v>
      </c>
      <c r="AA110">
        <v>12.1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7.0000000000000007E-2</v>
      </c>
      <c r="AH110">
        <v>2</v>
      </c>
      <c r="AI110">
        <v>40777385</v>
      </c>
      <c r="AJ110">
        <v>110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</row>
    <row r="111" spans="1:44" x14ac:dyDescent="0.2">
      <c r="A111">
        <f>ROW(Source!A43)</f>
        <v>43</v>
      </c>
      <c r="B111">
        <v>40777391</v>
      </c>
      <c r="C111">
        <v>40777382</v>
      </c>
      <c r="D111">
        <v>38685529</v>
      </c>
      <c r="E111">
        <v>1</v>
      </c>
      <c r="F111">
        <v>1</v>
      </c>
      <c r="G111">
        <v>1</v>
      </c>
      <c r="H111">
        <v>2</v>
      </c>
      <c r="I111" t="s">
        <v>477</v>
      </c>
      <c r="J111" t="s">
        <v>478</v>
      </c>
      <c r="K111" t="s">
        <v>479</v>
      </c>
      <c r="L111">
        <v>1368</v>
      </c>
      <c r="N111">
        <v>1011</v>
      </c>
      <c r="O111" t="s">
        <v>325</v>
      </c>
      <c r="P111" t="s">
        <v>325</v>
      </c>
      <c r="Q111">
        <v>1</v>
      </c>
      <c r="X111">
        <v>0.14000000000000001</v>
      </c>
      <c r="Y111">
        <v>0</v>
      </c>
      <c r="Z111">
        <v>10.64</v>
      </c>
      <c r="AA111">
        <v>0</v>
      </c>
      <c r="AB111">
        <v>0</v>
      </c>
      <c r="AC111">
        <v>0</v>
      </c>
      <c r="AD111">
        <v>1</v>
      </c>
      <c r="AE111">
        <v>0</v>
      </c>
      <c r="AF111" t="s">
        <v>3</v>
      </c>
      <c r="AG111">
        <v>0.14000000000000001</v>
      </c>
      <c r="AH111">
        <v>2</v>
      </c>
      <c r="AI111">
        <v>40777386</v>
      </c>
      <c r="AJ111">
        <v>111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ROW(Source!A43)</f>
        <v>43</v>
      </c>
      <c r="B112">
        <v>40777392</v>
      </c>
      <c r="C112">
        <v>40777382</v>
      </c>
      <c r="D112">
        <v>38663653</v>
      </c>
      <c r="E112">
        <v>1</v>
      </c>
      <c r="F112">
        <v>1</v>
      </c>
      <c r="G112">
        <v>1</v>
      </c>
      <c r="H112">
        <v>3</v>
      </c>
      <c r="I112" t="s">
        <v>480</v>
      </c>
      <c r="J112" t="s">
        <v>481</v>
      </c>
      <c r="K112" t="s">
        <v>482</v>
      </c>
      <c r="L112">
        <v>1339</v>
      </c>
      <c r="N112">
        <v>1007</v>
      </c>
      <c r="O112" t="s">
        <v>339</v>
      </c>
      <c r="P112" t="s">
        <v>339</v>
      </c>
      <c r="Q112">
        <v>1</v>
      </c>
      <c r="X112">
        <v>15</v>
      </c>
      <c r="Y112">
        <v>136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0</v>
      </c>
      <c r="AF112" t="s">
        <v>3</v>
      </c>
      <c r="AG112">
        <v>15</v>
      </c>
      <c r="AH112">
        <v>2</v>
      </c>
      <c r="AI112">
        <v>40777387</v>
      </c>
      <c r="AJ112">
        <v>112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ROW(Source!A44)</f>
        <v>44</v>
      </c>
      <c r="B113">
        <v>40777400</v>
      </c>
      <c r="C113">
        <v>40777393</v>
      </c>
      <c r="D113">
        <v>23135014</v>
      </c>
      <c r="E113">
        <v>1</v>
      </c>
      <c r="F113">
        <v>1</v>
      </c>
      <c r="G113">
        <v>1</v>
      </c>
      <c r="H113">
        <v>1</v>
      </c>
      <c r="I113" t="s">
        <v>331</v>
      </c>
      <c r="J113" t="s">
        <v>3</v>
      </c>
      <c r="K113" t="s">
        <v>332</v>
      </c>
      <c r="L113">
        <v>1369</v>
      </c>
      <c r="N113">
        <v>1013</v>
      </c>
      <c r="O113" t="s">
        <v>319</v>
      </c>
      <c r="P113" t="s">
        <v>319</v>
      </c>
      <c r="Q113">
        <v>1</v>
      </c>
      <c r="X113">
        <v>5.99</v>
      </c>
      <c r="Y113">
        <v>0</v>
      </c>
      <c r="Z113">
        <v>0</v>
      </c>
      <c r="AA113">
        <v>0</v>
      </c>
      <c r="AB113">
        <v>7.9</v>
      </c>
      <c r="AC113">
        <v>0</v>
      </c>
      <c r="AD113">
        <v>1</v>
      </c>
      <c r="AE113">
        <v>1</v>
      </c>
      <c r="AF113" t="s">
        <v>3</v>
      </c>
      <c r="AG113">
        <v>5.99</v>
      </c>
      <c r="AH113">
        <v>2</v>
      </c>
      <c r="AI113">
        <v>40777394</v>
      </c>
      <c r="AJ113">
        <v>113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ROW(Source!A44)</f>
        <v>44</v>
      </c>
      <c r="B114">
        <v>40777401</v>
      </c>
      <c r="C114">
        <v>40777393</v>
      </c>
      <c r="D114">
        <v>121548</v>
      </c>
      <c r="E114">
        <v>1</v>
      </c>
      <c r="F114">
        <v>1</v>
      </c>
      <c r="G114">
        <v>1</v>
      </c>
      <c r="H114">
        <v>1</v>
      </c>
      <c r="I114" t="s">
        <v>26</v>
      </c>
      <c r="J114" t="s">
        <v>3</v>
      </c>
      <c r="K114" t="s">
        <v>320</v>
      </c>
      <c r="L114">
        <v>608254</v>
      </c>
      <c r="N114">
        <v>1013</v>
      </c>
      <c r="O114" t="s">
        <v>321</v>
      </c>
      <c r="P114" t="s">
        <v>321</v>
      </c>
      <c r="Q114">
        <v>1</v>
      </c>
      <c r="X114">
        <v>2.74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1</v>
      </c>
      <c r="AE114">
        <v>2</v>
      </c>
      <c r="AF114" t="s">
        <v>3</v>
      </c>
      <c r="AG114">
        <v>2.74</v>
      </c>
      <c r="AH114">
        <v>2</v>
      </c>
      <c r="AI114">
        <v>40777395</v>
      </c>
      <c r="AJ114">
        <v>114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ROW(Source!A44)</f>
        <v>44</v>
      </c>
      <c r="B115">
        <v>40777402</v>
      </c>
      <c r="C115">
        <v>40777393</v>
      </c>
      <c r="D115">
        <v>38685729</v>
      </c>
      <c r="E115">
        <v>1</v>
      </c>
      <c r="F115">
        <v>1</v>
      </c>
      <c r="G115">
        <v>1</v>
      </c>
      <c r="H115">
        <v>2</v>
      </c>
      <c r="I115" t="s">
        <v>451</v>
      </c>
      <c r="J115" t="s">
        <v>452</v>
      </c>
      <c r="K115" t="s">
        <v>453</v>
      </c>
      <c r="L115">
        <v>1368</v>
      </c>
      <c r="N115">
        <v>1011</v>
      </c>
      <c r="O115" t="s">
        <v>325</v>
      </c>
      <c r="P115" t="s">
        <v>325</v>
      </c>
      <c r="Q115">
        <v>1</v>
      </c>
      <c r="X115">
        <v>2.74</v>
      </c>
      <c r="Y115">
        <v>0</v>
      </c>
      <c r="Z115">
        <v>119.25</v>
      </c>
      <c r="AA115">
        <v>10.35</v>
      </c>
      <c r="AB115">
        <v>0</v>
      </c>
      <c r="AC115">
        <v>0</v>
      </c>
      <c r="AD115">
        <v>1</v>
      </c>
      <c r="AE115">
        <v>0</v>
      </c>
      <c r="AF115" t="s">
        <v>3</v>
      </c>
      <c r="AG115">
        <v>2.74</v>
      </c>
      <c r="AH115">
        <v>2</v>
      </c>
      <c r="AI115">
        <v>40777396</v>
      </c>
      <c r="AJ115">
        <v>115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</row>
    <row r="116" spans="1:44" x14ac:dyDescent="0.2">
      <c r="A116">
        <f>ROW(Source!A44)</f>
        <v>44</v>
      </c>
      <c r="B116">
        <v>40777403</v>
      </c>
      <c r="C116">
        <v>40777393</v>
      </c>
      <c r="D116">
        <v>38664221</v>
      </c>
      <c r="E116">
        <v>1</v>
      </c>
      <c r="F116">
        <v>1</v>
      </c>
      <c r="G116">
        <v>1</v>
      </c>
      <c r="H116">
        <v>3</v>
      </c>
      <c r="I116" t="s">
        <v>469</v>
      </c>
      <c r="J116" t="s">
        <v>470</v>
      </c>
      <c r="K116" t="s">
        <v>471</v>
      </c>
      <c r="L116">
        <v>1339</v>
      </c>
      <c r="N116">
        <v>1007</v>
      </c>
      <c r="O116" t="s">
        <v>339</v>
      </c>
      <c r="P116" t="s">
        <v>339</v>
      </c>
      <c r="Q116">
        <v>1</v>
      </c>
      <c r="X116">
        <v>10</v>
      </c>
      <c r="Y116">
        <v>2.4700000000000002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10</v>
      </c>
      <c r="AH116">
        <v>2</v>
      </c>
      <c r="AI116">
        <v>40777397</v>
      </c>
      <c r="AJ116">
        <v>116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</row>
    <row r="117" spans="1:44" x14ac:dyDescent="0.2">
      <c r="A117">
        <f>ROW(Source!A44)</f>
        <v>44</v>
      </c>
      <c r="B117">
        <v>40777404</v>
      </c>
      <c r="C117">
        <v>40777393</v>
      </c>
      <c r="D117">
        <v>38665643</v>
      </c>
      <c r="E117">
        <v>1</v>
      </c>
      <c r="F117">
        <v>1</v>
      </c>
      <c r="G117">
        <v>1</v>
      </c>
      <c r="H117">
        <v>3</v>
      </c>
      <c r="I117" t="s">
        <v>483</v>
      </c>
      <c r="J117" t="s">
        <v>484</v>
      </c>
      <c r="K117" t="s">
        <v>485</v>
      </c>
      <c r="L117">
        <v>1346</v>
      </c>
      <c r="N117">
        <v>1009</v>
      </c>
      <c r="O117" t="s">
        <v>141</v>
      </c>
      <c r="P117" t="s">
        <v>141</v>
      </c>
      <c r="Q117">
        <v>1</v>
      </c>
      <c r="X117">
        <v>2</v>
      </c>
      <c r="Y117">
        <v>148.44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2</v>
      </c>
      <c r="AH117">
        <v>2</v>
      </c>
      <c r="AI117">
        <v>40777398</v>
      </c>
      <c r="AJ117">
        <v>117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ColWidth="9.140625" defaultRowHeight="12.75" x14ac:dyDescent="0.2"/>
  <cols>
    <col min="1" max="256" width="9.140625" customWidth="1"/>
  </cols>
  <sheetData/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Смета для ТЕР ЧР</vt:lpstr>
      <vt:lpstr>Source</vt:lpstr>
      <vt:lpstr>SourceObSm</vt:lpstr>
      <vt:lpstr>SmtRes</vt:lpstr>
      <vt:lpstr>EtalonRes</vt:lpstr>
      <vt:lpstr>SrcKA</vt:lpstr>
      <vt:lpstr>'Смета для ТЕР ЧР'!Заголовки_для_печати</vt:lpstr>
      <vt:lpstr>'Смета для ТЕР ЧР'!Область_печати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Moe</cp:lastModifiedBy>
  <dcterms:created xsi:type="dcterms:W3CDTF">2024-04-24T05:18:13Z</dcterms:created>
  <dcterms:modified xsi:type="dcterms:W3CDTF">2024-04-24T05:57:00Z</dcterms:modified>
</cp:coreProperties>
</file>