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15480" windowHeight="11640" firstSheet="1" activeTab="1"/>
  </bookViews>
  <sheets>
    <sheet name="main" sheetId="24110" state="veryHidden" r:id="rId1"/>
    <sheet name="Смета" sheetId="24109" r:id="rId2"/>
  </sheets>
  <definedNames>
    <definedName name="MyRange">#REF!</definedName>
    <definedName name="Мат_без_НДС" localSheetId="1">Смета!$K$87</definedName>
    <definedName name="Мат_без_НДС">#REF!</definedName>
  </definedNames>
  <calcPr calcId="124519"/>
</workbook>
</file>

<file path=xl/calcChain.xml><?xml version="1.0" encoding="utf-8"?>
<calcChain xmlns="http://schemas.openxmlformats.org/spreadsheetml/2006/main">
  <c r="E63" i="24109"/>
  <c r="F12" l="1"/>
  <c r="E45"/>
  <c r="K19" l="1"/>
  <c r="K15"/>
  <c r="K14"/>
  <c r="K13"/>
  <c r="L79"/>
  <c r="A62"/>
  <c r="H108"/>
  <c r="D107"/>
  <c r="D106"/>
  <c r="K100"/>
  <c r="P100" s="1"/>
  <c r="K99"/>
  <c r="P99" s="1"/>
  <c r="K98"/>
  <c r="P98" s="1"/>
  <c r="K97"/>
  <c r="P97" s="1"/>
  <c r="K96"/>
  <c r="P96" s="1"/>
  <c r="K95"/>
  <c r="P95" s="1"/>
  <c r="K94"/>
  <c r="P94" s="1"/>
  <c r="K93"/>
  <c r="P93" s="1"/>
  <c r="K92"/>
  <c r="P92" s="1"/>
  <c r="K91"/>
  <c r="P91" s="1"/>
  <c r="K90"/>
  <c r="P90" s="1"/>
  <c r="K89"/>
  <c r="P89" s="1"/>
  <c r="L81"/>
  <c r="L80"/>
  <c r="A78"/>
  <c r="Q73"/>
  <c r="P72" s="1"/>
  <c r="P71" s="1"/>
  <c r="P70" s="1"/>
  <c r="P69" s="1"/>
  <c r="P73"/>
  <c r="M73"/>
  <c r="L73"/>
  <c r="L74" s="1"/>
  <c r="L75" s="1"/>
  <c r="L76" s="1"/>
  <c r="L77" s="1"/>
  <c r="J73"/>
  <c r="J74" s="1"/>
  <c r="J75" s="1"/>
  <c r="A76" s="1"/>
  <c r="K57"/>
  <c r="H66"/>
  <c r="H65"/>
  <c r="A61"/>
  <c r="K58"/>
  <c r="K59" s="1"/>
  <c r="K60" s="1"/>
  <c r="K61" s="1"/>
  <c r="K62" s="1"/>
  <c r="Q56"/>
  <c r="P56"/>
  <c r="O56"/>
  <c r="N56"/>
  <c r="M56"/>
  <c r="L56" s="1"/>
  <c r="L57" s="1"/>
  <c r="L58" s="1"/>
  <c r="L59" s="1"/>
  <c r="L60" s="1"/>
  <c r="K56"/>
  <c r="D56"/>
  <c r="A56"/>
  <c r="Q55"/>
  <c r="P54" s="1"/>
  <c r="P53" s="1"/>
  <c r="P52" s="1"/>
  <c r="P51" s="1"/>
  <c r="P55"/>
  <c r="M55"/>
  <c r="H48"/>
  <c r="H47"/>
  <c r="A44"/>
  <c r="A43"/>
  <c r="Q38"/>
  <c r="P38"/>
  <c r="P37" s="1"/>
  <c r="O38"/>
  <c r="N38"/>
  <c r="M38"/>
  <c r="L38" s="1"/>
  <c r="K38"/>
  <c r="A38"/>
  <c r="Q37"/>
  <c r="M37"/>
  <c r="P36"/>
  <c r="P35" s="1"/>
  <c r="O36"/>
  <c r="N36"/>
  <c r="M36"/>
  <c r="L36" s="1"/>
  <c r="K36"/>
  <c r="A36"/>
  <c r="M35"/>
  <c r="P34"/>
  <c r="P33" s="1"/>
  <c r="O34"/>
  <c r="N34"/>
  <c r="M34"/>
  <c r="L34" s="1"/>
  <c r="K34"/>
  <c r="A34"/>
  <c r="M33"/>
  <c r="P32"/>
  <c r="P31" s="1"/>
  <c r="O32"/>
  <c r="N32"/>
  <c r="M32"/>
  <c r="L32" s="1"/>
  <c r="K32"/>
  <c r="A32"/>
  <c r="M31"/>
  <c r="P30"/>
  <c r="P29" s="1"/>
  <c r="O30"/>
  <c r="N30"/>
  <c r="M30"/>
  <c r="L30" s="1"/>
  <c r="K30"/>
  <c r="A30"/>
  <c r="M29"/>
  <c r="P28"/>
  <c r="P27" s="1"/>
  <c r="O28"/>
  <c r="N28"/>
  <c r="M28"/>
  <c r="L28" s="1"/>
  <c r="K28"/>
  <c r="A28"/>
  <c r="M27"/>
  <c r="P26"/>
  <c r="P25" s="1"/>
  <c r="O26"/>
  <c r="N26"/>
  <c r="M26"/>
  <c r="L26" s="1"/>
  <c r="K26"/>
  <c r="A26"/>
  <c r="M25"/>
  <c r="L19"/>
  <c r="P19" s="1"/>
  <c r="A19"/>
  <c r="P18"/>
  <c r="A18"/>
  <c r="I2"/>
  <c r="K39" l="1"/>
  <c r="K40" s="1"/>
  <c r="K41" s="1"/>
  <c r="K42" s="1"/>
  <c r="K43" s="1"/>
  <c r="K44" s="1"/>
  <c r="K85" s="1"/>
  <c r="C52"/>
  <c r="I36"/>
  <c r="L39"/>
  <c r="L40" s="1"/>
  <c r="L41" s="1"/>
  <c r="L42" s="1"/>
  <c r="L43" s="1"/>
  <c r="L44" s="1"/>
  <c r="B52"/>
  <c r="B22"/>
  <c r="D52"/>
  <c r="Q36"/>
  <c r="Q34" s="1"/>
  <c r="Q32" s="1"/>
  <c r="Q30" s="1"/>
  <c r="Q28" s="1"/>
  <c r="Q26" s="1"/>
  <c r="Q35"/>
  <c r="Q33" s="1"/>
  <c r="Q31" s="1"/>
  <c r="Q29" s="1"/>
  <c r="Q27" s="1"/>
  <c r="Q25" s="1"/>
  <c r="P24" s="1"/>
  <c r="P23" s="1"/>
  <c r="P22" s="1"/>
  <c r="P21" s="1"/>
  <c r="K101"/>
  <c r="L78"/>
  <c r="J76"/>
  <c r="L61"/>
  <c r="L62" s="1"/>
  <c r="I56"/>
  <c r="I57" s="1"/>
  <c r="J56"/>
  <c r="J57" s="1"/>
  <c r="J58" s="1"/>
  <c r="J59" s="1"/>
  <c r="J60" s="1"/>
  <c r="J61" s="1"/>
  <c r="J62" s="1"/>
  <c r="H56"/>
  <c r="I38"/>
  <c r="C22"/>
  <c r="I34"/>
  <c r="I32"/>
  <c r="I30"/>
  <c r="D22"/>
  <c r="I28"/>
  <c r="I26"/>
  <c r="D26"/>
  <c r="J26"/>
  <c r="D28"/>
  <c r="J28"/>
  <c r="D30"/>
  <c r="J30"/>
  <c r="D32"/>
  <c r="J32"/>
  <c r="D34"/>
  <c r="J34"/>
  <c r="D36"/>
  <c r="J36"/>
  <c r="D38"/>
  <c r="J38"/>
  <c r="H26"/>
  <c r="H28"/>
  <c r="H30"/>
  <c r="G30" s="1"/>
  <c r="H32"/>
  <c r="H34"/>
  <c r="G34" s="1"/>
  <c r="H36"/>
  <c r="H38"/>
  <c r="G38" s="1"/>
  <c r="I58" l="1"/>
  <c r="G36"/>
  <c r="L85"/>
  <c r="L17" s="1"/>
  <c r="G32"/>
  <c r="G28"/>
  <c r="I39"/>
  <c r="G56"/>
  <c r="H57"/>
  <c r="G26"/>
  <c r="H39"/>
  <c r="J39"/>
  <c r="J40" s="1"/>
  <c r="J41" s="1"/>
  <c r="J42" s="1"/>
  <c r="J43" s="1"/>
  <c r="J44" s="1"/>
  <c r="P101"/>
  <c r="F105"/>
  <c r="J77"/>
  <c r="A77"/>
  <c r="I59"/>
  <c r="I60" s="1"/>
  <c r="I61" s="1"/>
  <c r="I62" s="1"/>
  <c r="G39" l="1"/>
  <c r="H40"/>
  <c r="I40"/>
  <c r="I41" s="1"/>
  <c r="I42" s="1"/>
  <c r="I43" s="1"/>
  <c r="I44" s="1"/>
  <c r="J85" s="1"/>
  <c r="H58"/>
  <c r="G57"/>
  <c r="F106"/>
  <c r="F107"/>
  <c r="I105"/>
  <c r="K105" s="1"/>
  <c r="L14" s="1"/>
  <c r="P102"/>
  <c r="P87" s="1"/>
  <c r="P88" s="1"/>
  <c r="J78"/>
  <c r="B78"/>
  <c r="H41" l="1"/>
  <c r="G40"/>
  <c r="H59"/>
  <c r="G58"/>
  <c r="J79"/>
  <c r="A79"/>
  <c r="H60" l="1"/>
  <c r="G59"/>
  <c r="H42"/>
  <c r="G41"/>
  <c r="A80"/>
  <c r="J81"/>
  <c r="J80"/>
  <c r="A81"/>
  <c r="H43" l="1"/>
  <c r="G42"/>
  <c r="B43" s="1"/>
  <c r="H61"/>
  <c r="G60"/>
  <c r="B61" s="1"/>
  <c r="A82"/>
  <c r="J82"/>
  <c r="G61" l="1"/>
  <c r="H62"/>
  <c r="H44"/>
  <c r="G43"/>
  <c r="P82"/>
  <c r="P80" s="1"/>
  <c r="G46" l="1"/>
  <c r="G44"/>
  <c r="G62"/>
  <c r="G64"/>
  <c r="P79"/>
  <c r="P81"/>
  <c r="P74"/>
  <c r="A66" l="1"/>
  <c r="G65"/>
  <c r="A65"/>
  <c r="G66"/>
  <c r="A47"/>
  <c r="G47"/>
  <c r="A48"/>
  <c r="G85"/>
  <c r="L16" s="1"/>
  <c r="G48"/>
  <c r="P77"/>
  <c r="P75"/>
  <c r="P78"/>
  <c r="P76"/>
  <c r="H85" l="1"/>
  <c r="G67"/>
  <c r="P67" s="1"/>
  <c r="P57" s="1"/>
  <c r="A49"/>
  <c r="A67"/>
  <c r="G49"/>
  <c r="P49" s="1"/>
  <c r="P65"/>
  <c r="P64"/>
  <c r="I85"/>
  <c r="P62" l="1"/>
  <c r="P66"/>
  <c r="P63"/>
  <c r="E85"/>
  <c r="F104"/>
  <c r="F108" s="1"/>
  <c r="I108" s="1"/>
  <c r="K108" s="1"/>
  <c r="L13" s="1"/>
  <c r="P46"/>
  <c r="P48"/>
  <c r="P47"/>
  <c r="P39"/>
  <c r="P45"/>
  <c r="P44"/>
  <c r="P59"/>
  <c r="P60"/>
  <c r="P58"/>
  <c r="P61"/>
  <c r="I104" l="1"/>
  <c r="K104" s="1"/>
  <c r="L15" s="1"/>
  <c r="P42"/>
  <c r="P41"/>
  <c r="P40"/>
  <c r="P43"/>
</calcChain>
</file>

<file path=xl/sharedStrings.xml><?xml version="1.0" encoding="utf-8"?>
<sst xmlns="http://schemas.openxmlformats.org/spreadsheetml/2006/main" count="164" uniqueCount="123">
  <si>
    <t>"Утверждаю"</t>
  </si>
  <si>
    <t>Заказчик:</t>
  </si>
  <si>
    <t/>
  </si>
  <si>
    <t>Подрядчик:</t>
  </si>
  <si>
    <t>Объект:</t>
  </si>
  <si>
    <t>Адрес:</t>
  </si>
  <si>
    <t>Договор №</t>
  </si>
  <si>
    <t>МП</t>
  </si>
  <si>
    <t>ЭМ</t>
  </si>
  <si>
    <t xml:space="preserve">Средства на оплату труда (руб) - </t>
  </si>
  <si>
    <t>Наименование работ и затрат</t>
  </si>
  <si>
    <t>Кол-во</t>
  </si>
  <si>
    <t>система</t>
  </si>
  <si>
    <t>№</t>
  </si>
  <si>
    <t>Ед.изм.</t>
  </si>
  <si>
    <t>шт.</t>
  </si>
  <si>
    <t xml:space="preserve">Нормативная трудоемкость (чел-ч.) - </t>
  </si>
  <si>
    <t xml:space="preserve">   Расшифровка условных сокращений </t>
  </si>
  <si>
    <t>Заказчик</t>
  </si>
  <si>
    <t>Цены поставщика оборудования</t>
  </si>
  <si>
    <t>*</t>
  </si>
  <si>
    <t>Цены завода-изготовителя</t>
  </si>
  <si>
    <t>Цена</t>
  </si>
  <si>
    <t xml:space="preserve">Подрядчик </t>
  </si>
  <si>
    <t>Ставка НДС</t>
  </si>
  <si>
    <t xml:space="preserve">Сумма НДС </t>
  </si>
  <si>
    <t xml:space="preserve"> Стоимость без НДС</t>
  </si>
  <si>
    <t>ИТОГИ ПО СМЕТЕ  :</t>
  </si>
  <si>
    <t>Стоимость (руб)</t>
  </si>
  <si>
    <t xml:space="preserve">Стоимость материальных ресурсов по разделу без НДС = </t>
  </si>
  <si>
    <t>НР</t>
  </si>
  <si>
    <t>СП</t>
  </si>
  <si>
    <t>ФОТ</t>
  </si>
  <si>
    <t xml:space="preserve">Сводная таблица сметных затрат  </t>
  </si>
  <si>
    <r>
      <t xml:space="preserve">Ind= </t>
    </r>
    <r>
      <rPr>
        <b/>
        <i/>
        <sz val="10"/>
        <rFont val="Arial Narrow"/>
        <family val="2"/>
        <charset val="204"/>
      </rPr>
      <t>►</t>
    </r>
  </si>
  <si>
    <t>Всего по смете</t>
  </si>
  <si>
    <t>С учетом районного коэффициента =</t>
  </si>
  <si>
    <t>МАТ</t>
  </si>
  <si>
    <r>
      <t>ПЗ</t>
    </r>
    <r>
      <rPr>
        <sz val="10"/>
        <rFont val="Arial Narrow"/>
        <family val="2"/>
        <charset val="204"/>
      </rPr>
      <t xml:space="preserve"> - </t>
    </r>
    <r>
      <rPr>
        <i/>
        <sz val="10"/>
        <rFont val="Arial Narrow"/>
        <family val="2"/>
        <charset val="204"/>
      </rPr>
      <t>прямые затраты</t>
    </r>
    <r>
      <rPr>
        <sz val="10"/>
        <rFont val="Arial Narrow"/>
        <family val="2"/>
        <charset val="204"/>
      </rPr>
      <t xml:space="preserve"> = (ОЗП + ЭМ + МАТ)</t>
    </r>
  </si>
  <si>
    <r>
      <t>ЭМ</t>
    </r>
    <r>
      <rPr>
        <sz val="10"/>
        <rFont val="Arial Narrow"/>
        <family val="2"/>
        <charset val="204"/>
      </rPr>
      <t xml:space="preserve"> - </t>
    </r>
    <r>
      <rPr>
        <i/>
        <sz val="10"/>
        <rFont val="Arial Narrow"/>
        <family val="2"/>
        <charset val="204"/>
      </rPr>
      <t xml:space="preserve">затраты на эксплуатацию машин и механизмов, </t>
    </r>
    <r>
      <rPr>
        <b/>
        <sz val="10"/>
        <rFont val="Arial Narrow"/>
        <family val="2"/>
        <charset val="204"/>
      </rPr>
      <t>ЗПМ</t>
    </r>
    <r>
      <rPr>
        <i/>
        <sz val="10"/>
        <rFont val="Arial Narrow"/>
        <family val="2"/>
        <charset val="204"/>
      </rPr>
      <t xml:space="preserve"> - в т.ч. зарплата машинистов</t>
    </r>
  </si>
  <si>
    <t>должность, фамилия и.о., подпись</t>
  </si>
  <si>
    <t xml:space="preserve">ТЗ </t>
  </si>
  <si>
    <t>Единица измерения</t>
  </si>
  <si>
    <r>
      <t xml:space="preserve">ФОТ </t>
    </r>
    <r>
      <rPr>
        <i/>
        <sz val="10"/>
        <color indexed="8"/>
        <rFont val="Arial Narrow"/>
        <family val="2"/>
        <charset val="204"/>
      </rPr>
      <t>- фонд оплаты труда,</t>
    </r>
    <r>
      <rPr>
        <b/>
        <sz val="10"/>
        <color indexed="8"/>
        <rFont val="Arial Narrow"/>
        <family val="2"/>
        <charset val="204"/>
      </rPr>
      <t xml:space="preserve"> ТЗ</t>
    </r>
    <r>
      <rPr>
        <i/>
        <sz val="10"/>
        <color indexed="8"/>
        <rFont val="Arial Narrow"/>
        <family val="2"/>
        <charset val="204"/>
      </rPr>
      <t xml:space="preserve"> - нормативная трудоемкость (трудозатраты),чел-ч.</t>
    </r>
  </si>
  <si>
    <t>С учетом особых условий производства работ (ОЗП, ЗПМ)  х</t>
  </si>
  <si>
    <t xml:space="preserve">    С учетом стесненных условий работ (ОЗП, ЗПМ)  х</t>
  </si>
  <si>
    <t xml:space="preserve">           </t>
  </si>
  <si>
    <t xml:space="preserve"> Коэффициенты пересчета базовых цен на   </t>
  </si>
  <si>
    <t>Всего</t>
  </si>
  <si>
    <r>
      <t>МАТ</t>
    </r>
    <r>
      <rPr>
        <b/>
        <i/>
        <sz val="10"/>
        <rFont val="Arial Narrow"/>
        <family val="2"/>
        <charset val="204"/>
      </rPr>
      <t xml:space="preserve"> - </t>
    </r>
    <r>
      <rPr>
        <i/>
        <sz val="10"/>
        <rFont val="Arial Narrow"/>
        <family val="2"/>
        <charset val="204"/>
      </rPr>
      <t>материальные затраты, учтенные в расценках работ</t>
    </r>
  </si>
  <si>
    <t>Раздел:  Материальные ресурсы, не учтенные в ценниках:</t>
  </si>
  <si>
    <t>Сметная стоимость работ без учета оборудования =</t>
  </si>
  <si>
    <t>Сметная стоимость, (руб) =</t>
  </si>
  <si>
    <t xml:space="preserve">ОБОСНО-ВАНИЕ </t>
  </si>
  <si>
    <t>Количество</t>
  </si>
  <si>
    <t>С учетом районного коэффициента  (ОЗП, ЗПМ)  х</t>
  </si>
  <si>
    <r>
      <t>Итого прямые затраты на оплату труда в уровне базовых цен 2000г</t>
    </r>
    <r>
      <rPr>
        <sz val="6"/>
        <rFont val="Arial Cyr"/>
        <charset val="204"/>
      </rPr>
      <t xml:space="preserve">  </t>
    </r>
    <r>
      <rPr>
        <sz val="9"/>
        <rFont val="Arial Cyr"/>
        <family val="2"/>
        <charset val="204"/>
      </rPr>
      <t xml:space="preserve">= </t>
    </r>
  </si>
  <si>
    <r>
      <t xml:space="preserve"> Материальные ресурсы</t>
    </r>
    <r>
      <rPr>
        <sz val="9.5"/>
        <rFont val="Arial Cyr"/>
        <charset val="204"/>
      </rPr>
      <t xml:space="preserve">, не учтенные в ценниках =   </t>
    </r>
  </si>
  <si>
    <t xml:space="preserve">                         Итого прямые затраты в уровне базовых цен 2000г. = (ОЗП + ЭМ + МАТ)</t>
  </si>
  <si>
    <t>Наименование</t>
  </si>
  <si>
    <t>№
пп</t>
  </si>
  <si>
    <r>
      <t>Сметная стоимость с учетом понижающего коэффициента -</t>
    </r>
    <r>
      <rPr>
        <b/>
        <i/>
        <u/>
        <sz val="10"/>
        <color indexed="9"/>
        <rFont val="Arial Narrow"/>
        <family val="2"/>
        <charset val="204"/>
      </rPr>
      <t>.</t>
    </r>
  </si>
  <si>
    <t xml:space="preserve">в т. ч. фонд оплаты труда (ФОТ) = ОЗП+ЗПМ =   </t>
  </si>
  <si>
    <r>
      <t>ОЗП</t>
    </r>
    <r>
      <rPr>
        <sz val="10"/>
        <rFont val="Arial Narrow"/>
        <family val="2"/>
        <charset val="204"/>
      </rPr>
      <t xml:space="preserve"> </t>
    </r>
    <r>
      <rPr>
        <i/>
        <sz val="10"/>
        <rFont val="Arial Narrow"/>
        <family val="2"/>
        <charset val="204"/>
      </rPr>
      <t>- основная заработная плата рабочих</t>
    </r>
  </si>
  <si>
    <r>
      <t xml:space="preserve">Осн/Зп
</t>
    </r>
    <r>
      <rPr>
        <sz val="9"/>
        <rFont val="Arial Cyr"/>
        <charset val="204"/>
      </rPr>
      <t xml:space="preserve">(ОЗП) </t>
    </r>
  </si>
  <si>
    <r>
      <t xml:space="preserve">Эк.Маш
</t>
    </r>
    <r>
      <rPr>
        <sz val="9"/>
        <rFont val="Arial Cyr"/>
        <charset val="204"/>
      </rPr>
      <t xml:space="preserve">(ЭМ) </t>
    </r>
  </si>
  <si>
    <r>
      <t xml:space="preserve">Трудо-затраты
</t>
    </r>
    <r>
      <rPr>
        <sz val="9"/>
        <rFont val="Arial Cyr"/>
        <charset val="204"/>
      </rPr>
      <t>(ТЗ),</t>
    </r>
    <r>
      <rPr>
        <i/>
        <sz val="9"/>
        <rFont val="Arial Cyr"/>
        <charset val="204"/>
      </rPr>
      <t xml:space="preserve"> чел-ч</t>
    </r>
  </si>
  <si>
    <r>
      <t xml:space="preserve">Зп.Мех
</t>
    </r>
    <r>
      <rPr>
        <sz val="9"/>
        <rFont val="Arial Cyr"/>
        <charset val="204"/>
      </rPr>
      <t>(ЗПМ)</t>
    </r>
  </si>
  <si>
    <t xml:space="preserve">МАТ
</t>
  </si>
  <si>
    <r>
      <t xml:space="preserve">Затраты
 на оплату труда
</t>
    </r>
    <r>
      <rPr>
        <sz val="9"/>
        <rFont val="Arial Cyr"/>
        <charset val="204"/>
      </rPr>
      <t>(ЗП), руб</t>
    </r>
  </si>
  <si>
    <r>
      <t xml:space="preserve">Затраты на единицу измерения
</t>
    </r>
    <r>
      <rPr>
        <b/>
        <sz val="9"/>
        <rFont val="Arial Cyr"/>
        <charset val="204"/>
      </rPr>
      <t>Общая сметная стоимость</t>
    </r>
    <r>
      <rPr>
        <sz val="9"/>
        <rFont val="Arial Cyr"/>
        <charset val="204"/>
      </rPr>
      <t xml:space="preserve">                                                    </t>
    </r>
  </si>
  <si>
    <r>
      <t xml:space="preserve">Трудо-затраты
</t>
    </r>
    <r>
      <rPr>
        <sz val="9"/>
        <color indexed="8"/>
        <rFont val="Arial"/>
        <family val="2"/>
        <charset val="204"/>
      </rPr>
      <t xml:space="preserve"> </t>
    </r>
    <r>
      <rPr>
        <i/>
        <sz val="9"/>
        <color indexed="8"/>
        <rFont val="Arial"/>
        <family val="2"/>
        <charset val="204"/>
      </rPr>
      <t>чел-ч</t>
    </r>
  </si>
  <si>
    <t>ВСЕГО</t>
  </si>
  <si>
    <t>Трудо-затраты</t>
  </si>
  <si>
    <t>Затраты на ед. изм.</t>
  </si>
  <si>
    <t>Всего, руб</t>
  </si>
  <si>
    <t>Оплата труда 
и прочие затраты 
(руб)</t>
  </si>
  <si>
    <t>Раздел: Электромонтажные работы по Сб.ФЕРм-2001</t>
  </si>
  <si>
    <t>10-08-001-02</t>
  </si>
  <si>
    <t xml:space="preserve">Приемно-контрольный прибор </t>
  </si>
  <si>
    <t>шт</t>
  </si>
  <si>
    <t>10-08-002-02</t>
  </si>
  <si>
    <t xml:space="preserve">Извещатель дымовой, ручной,  фото/эл, радиоиз, световой </t>
  </si>
  <si>
    <t xml:space="preserve">10-04-066-05 </t>
  </si>
  <si>
    <t>Динамик (сирена оповещения)</t>
  </si>
  <si>
    <t xml:space="preserve">10-04-101-15 </t>
  </si>
  <si>
    <t xml:space="preserve">Световой, оповещатель </t>
  </si>
  <si>
    <t xml:space="preserve">10-01-055-09 </t>
  </si>
  <si>
    <t>Прокладка провода по бетон.стене</t>
  </si>
  <si>
    <t>100м</t>
  </si>
  <si>
    <t>10-08-003-03</t>
  </si>
  <si>
    <t>Блок питания и контроля</t>
  </si>
  <si>
    <t>08-02-390-01</t>
  </si>
  <si>
    <t>Короб пластмассовый шириной до 40 мм</t>
  </si>
  <si>
    <t>Раздел: Демонтаж</t>
  </si>
  <si>
    <t>10-08-002-06</t>
  </si>
  <si>
    <t xml:space="preserve">Извещатель дымовой, фото/эл, радиоиз, световой </t>
  </si>
  <si>
    <t>Раздел : Пусконаладочные работы по Сб.ФЕРп-2001</t>
  </si>
  <si>
    <t>02-01-002-05</t>
  </si>
  <si>
    <t xml:space="preserve">Приемно-контрольный прибор Гранит 8 новый  </t>
  </si>
  <si>
    <t xml:space="preserve">ИВЭПР 12/2 1х7-Р источник вторичного электропитания </t>
  </si>
  <si>
    <t xml:space="preserve">Извещатель пожарный дымовой 212-141 </t>
  </si>
  <si>
    <t xml:space="preserve">Извещатель пожарный ручной ИПР </t>
  </si>
  <si>
    <t xml:space="preserve">Оповещатель Речевой Соната М </t>
  </si>
  <si>
    <t>Табличка  "ВЫХОД"</t>
  </si>
  <si>
    <t xml:space="preserve">Аккумуляторная батарея 12В 7А/ч </t>
  </si>
  <si>
    <t xml:space="preserve">Кабель огнестойкий КПСЭнг(А)-FRLSLTx 1х2х0,75 </t>
  </si>
  <si>
    <t>м</t>
  </si>
  <si>
    <t xml:space="preserve">Кабель огнестойкий КПСЭнг(А)-FRLSLTx 2х2х0,75 </t>
  </si>
  <si>
    <t xml:space="preserve">Кабельный канал 25*16 </t>
  </si>
  <si>
    <t>м.</t>
  </si>
  <si>
    <t xml:space="preserve">Гофрированная труба Ф16 уличная </t>
  </si>
  <si>
    <t xml:space="preserve">Тросс стальной </t>
  </si>
  <si>
    <t>МАДОУ д/с № 42 «Ласточка</t>
  </si>
  <si>
    <t xml:space="preserve">АГО ККО ООО "ВДПО" </t>
  </si>
  <si>
    <t xml:space="preserve">МАДОУ д/с № 42 «Ласточка Литер А </t>
  </si>
  <si>
    <t>Краснодарский край, Анапский район, станица Анапская, ул. Кавказская, дом 117.</t>
  </si>
  <si>
    <t>ЛОКАЛЬНЫЙ СМЕТНЫЙ РАСЧЕТ №  
 Локальная смета:</t>
  </si>
  <si>
    <t>Основание: Договор</t>
  </si>
  <si>
    <t xml:space="preserve">  Инженер АГО ККО ООО "ВДПО" Васильев А.В.</t>
  </si>
  <si>
    <t>Расчет сметной стоимости выполнен  по состоянию на 08.10.2021</t>
  </si>
  <si>
    <t xml:space="preserve">Количество каналов от 5 до 10 шлейфов </t>
  </si>
  <si>
    <t xml:space="preserve">Монтаж и наладка пожарной сигнализации </t>
  </si>
</sst>
</file>

<file path=xl/styles.xml><?xml version="1.0" encoding="utf-8"?>
<styleSheet xmlns="http://schemas.openxmlformats.org/spreadsheetml/2006/main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;\-#,##0.00"/>
    <numFmt numFmtId="167" formatCode="#,##0.00_ ;\-#,##0.00\ "/>
    <numFmt numFmtId="168" formatCode="#,##0.000"/>
    <numFmt numFmtId="169" formatCode="#,##0.0000"/>
    <numFmt numFmtId="170" formatCode="yyyy&quot;г.&quot;"/>
    <numFmt numFmtId="171" formatCode="0.0##%"/>
    <numFmt numFmtId="172" formatCode="0.0#%"/>
  </numFmts>
  <fonts count="79">
    <font>
      <sz val="10"/>
      <name val="Arial Cyr"/>
      <charset val="204"/>
    </font>
    <font>
      <sz val="10"/>
      <name val="Arial Cyr"/>
      <charset val="204"/>
    </font>
    <font>
      <b/>
      <shadow/>
      <sz val="10"/>
      <name val="Arial cyr"/>
      <charset val="204"/>
    </font>
    <font>
      <sz val="11"/>
      <name val="Arial Cyr"/>
      <charset val="204"/>
    </font>
    <font>
      <b/>
      <shadow/>
      <sz val="14"/>
      <name val="Arial cyr"/>
      <charset val="204"/>
    </font>
    <font>
      <b/>
      <i/>
      <sz val="10"/>
      <name val="Arial Cyr"/>
      <charset val="204"/>
    </font>
    <font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charset val="204"/>
    </font>
    <font>
      <b/>
      <sz val="9"/>
      <color indexed="8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sz val="8"/>
      <name val="Arial Cyr"/>
      <charset val="204"/>
    </font>
    <font>
      <shadow/>
      <sz val="9"/>
      <name val="Arial Cyr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sz val="9"/>
      <color indexed="8"/>
      <name val="Arial Cyr"/>
      <charset val="204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i/>
      <sz val="10"/>
      <name val="Arial Narrow"/>
      <family val="2"/>
      <charset val="204"/>
    </font>
    <font>
      <b/>
      <i/>
      <sz val="10"/>
      <name val="Arial Narrow"/>
      <family val="2"/>
    </font>
    <font>
      <b/>
      <i/>
      <shadow/>
      <sz val="10"/>
      <name val="Arial Narrow"/>
      <family val="2"/>
    </font>
    <font>
      <b/>
      <sz val="9"/>
      <name val="Arial Narrow"/>
      <family val="2"/>
      <charset val="204"/>
    </font>
    <font>
      <b/>
      <sz val="10"/>
      <name val="Arial"/>
      <family val="2"/>
      <charset val="204"/>
    </font>
    <font>
      <b/>
      <i/>
      <shadow/>
      <sz val="10"/>
      <name val="Arial Narrow"/>
      <family val="2"/>
      <charset val="204"/>
    </font>
    <font>
      <sz val="10"/>
      <color indexed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indexed="8"/>
      <name val="Arial Narrow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Arial Narrow"/>
      <family val="2"/>
      <charset val="204"/>
    </font>
    <font>
      <b/>
      <shadow/>
      <sz val="10.5"/>
      <name val="Arial Narrow"/>
      <family val="2"/>
    </font>
    <font>
      <b/>
      <i/>
      <sz val="9.5"/>
      <name val="Arial Cyr"/>
      <charset val="204"/>
    </font>
    <font>
      <b/>
      <sz val="9.5"/>
      <name val="Arial Narrow"/>
      <family val="2"/>
      <charset val="204"/>
    </font>
    <font>
      <b/>
      <sz val="9.5"/>
      <name val="Arial Narrow"/>
      <family val="2"/>
    </font>
    <font>
      <sz val="7"/>
      <name val="Arial Cyr"/>
      <charset val="204"/>
    </font>
    <font>
      <b/>
      <sz val="10"/>
      <name val="Arial Narrow"/>
      <family val="2"/>
    </font>
    <font>
      <b/>
      <sz val="10"/>
      <color indexed="9"/>
      <name val="Arial Narrow"/>
      <family val="2"/>
      <charset val="204"/>
    </font>
    <font>
      <sz val="9.5"/>
      <name val="Arial Cyr"/>
      <charset val="204"/>
    </font>
    <font>
      <i/>
      <sz val="10"/>
      <color indexed="8"/>
      <name val="Arial Narrow"/>
      <family val="2"/>
      <charset val="204"/>
    </font>
    <font>
      <i/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sz val="9"/>
      <color indexed="9"/>
      <name val="Arial Cyr"/>
      <family val="2"/>
      <charset val="204"/>
    </font>
    <font>
      <sz val="10"/>
      <color indexed="43"/>
      <name val="Arial Cyr"/>
      <charset val="204"/>
    </font>
    <font>
      <sz val="10"/>
      <color indexed="9"/>
      <name val="Arial Cyr"/>
      <charset val="204"/>
    </font>
    <font>
      <b/>
      <sz val="9.5"/>
      <color indexed="10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sz val="9.5"/>
      <name val="Arial Narrow"/>
      <family val="2"/>
      <charset val="204"/>
    </font>
    <font>
      <b/>
      <sz val="10"/>
      <color indexed="8"/>
      <name val="Arial Narrow"/>
      <family val="2"/>
    </font>
    <font>
      <i/>
      <sz val="9"/>
      <name val="Arial Cyr"/>
      <family val="2"/>
      <charset val="204"/>
    </font>
    <font>
      <b/>
      <i/>
      <sz val="10"/>
      <color indexed="8"/>
      <name val="Arial Narrow"/>
      <family val="2"/>
    </font>
    <font>
      <b/>
      <i/>
      <sz val="10"/>
      <color indexed="8"/>
      <name val="Arial Narrow"/>
      <family val="2"/>
      <charset val="204"/>
    </font>
    <font>
      <sz val="9.5"/>
      <color indexed="8"/>
      <name val="Arial Cyr"/>
      <charset val="204"/>
    </font>
    <font>
      <b/>
      <sz val="9.5"/>
      <name val="Arial Cyr"/>
      <charset val="204"/>
    </font>
    <font>
      <b/>
      <i/>
      <u/>
      <sz val="10"/>
      <color indexed="8"/>
      <name val="Arial Narrow"/>
      <family val="2"/>
      <charset val="204"/>
    </font>
    <font>
      <sz val="6"/>
      <name val="Arial Cyr"/>
      <charset val="204"/>
    </font>
    <font>
      <b/>
      <sz val="8"/>
      <name val="Arial"/>
      <family val="2"/>
    </font>
    <font>
      <sz val="8"/>
      <name val="Arial"/>
      <family val="2"/>
    </font>
    <font>
      <b/>
      <i/>
      <u/>
      <sz val="10"/>
      <color indexed="9"/>
      <name val="Arial Narrow"/>
      <family val="2"/>
      <charset val="204"/>
    </font>
    <font>
      <b/>
      <i/>
      <sz val="10"/>
      <color indexed="9"/>
      <name val="Arial"/>
      <family val="2"/>
      <charset val="204"/>
    </font>
    <font>
      <sz val="8"/>
      <color indexed="9"/>
      <name val="Arial Cyr"/>
      <charset val="204"/>
    </font>
    <font>
      <sz val="8"/>
      <color indexed="9"/>
      <name val="Arial"/>
      <family val="2"/>
      <charset val="204"/>
    </font>
    <font>
      <b/>
      <i/>
      <sz val="12"/>
      <name val="Arial Cyr"/>
      <charset val="204"/>
    </font>
    <font>
      <b/>
      <shadow/>
      <sz val="11"/>
      <name val="Arial cyr"/>
      <charset val="204"/>
    </font>
    <font>
      <sz val="8"/>
      <color indexed="12"/>
      <name val="Arial Cyr"/>
      <charset val="204"/>
    </font>
    <font>
      <i/>
      <sz val="9"/>
      <name val="Arial Cyr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sz val="10"/>
      <name val="Arial Cyr"/>
      <charset val="204"/>
    </font>
    <font>
      <b/>
      <sz val="10"/>
      <color indexed="9"/>
      <name val="Arial Cyr"/>
      <family val="2"/>
      <charset val="204"/>
    </font>
    <font>
      <b/>
      <sz val="10"/>
      <color indexed="9"/>
      <name val="Arial Cyr"/>
      <charset val="204"/>
    </font>
    <font>
      <b/>
      <sz val="10"/>
      <color indexed="10"/>
      <name val="Arial Cyr"/>
      <charset val="204"/>
    </font>
    <font>
      <sz val="10"/>
      <color indexed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</cellStyleXfs>
  <cellXfs count="33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horizontal="center"/>
    </xf>
    <xf numFmtId="4" fontId="5" fillId="2" borderId="0" xfId="0" applyNumberFormat="1" applyFont="1" applyFill="1" applyAlignment="1">
      <alignment horizontal="right"/>
    </xf>
    <xf numFmtId="0" fontId="49" fillId="2" borderId="0" xfId="0" applyNumberFormat="1" applyFont="1" applyFill="1" applyBorder="1" applyAlignment="1">
      <alignment horizontal="center"/>
    </xf>
    <xf numFmtId="0" fontId="49" fillId="2" borderId="0" xfId="0" applyFont="1" applyFill="1" applyAlignment="1">
      <alignment horizontal="center" vertical="center" wrapText="1"/>
    </xf>
    <xf numFmtId="0" fontId="34" fillId="2" borderId="0" xfId="0" applyFont="1" applyFill="1"/>
    <xf numFmtId="0" fontId="0" fillId="2" borderId="0" xfId="0" applyFill="1" applyAlignment="1">
      <alignment horizontal="center" vertical="center"/>
    </xf>
    <xf numFmtId="0" fontId="21" fillId="2" borderId="0" xfId="0" applyFont="1" applyFill="1" applyAlignment="1">
      <alignment horizontal="right" vertical="center"/>
    </xf>
    <xf numFmtId="4" fontId="21" fillId="2" borderId="0" xfId="0" applyNumberFormat="1" applyFont="1" applyFill="1" applyAlignment="1">
      <alignment horizontal="right" vertical="center"/>
    </xf>
    <xf numFmtId="0" fontId="0" fillId="2" borderId="0" xfId="0" applyNumberForma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wrapText="1"/>
    </xf>
    <xf numFmtId="44" fontId="5" fillId="2" borderId="0" xfId="0" applyNumberFormat="1" applyFont="1" applyFill="1" applyAlignment="1">
      <alignment horizontal="right" vertical="center"/>
    </xf>
    <xf numFmtId="0" fontId="24" fillId="2" borderId="0" xfId="0" applyFont="1" applyFill="1" applyAlignment="1">
      <alignment horizontal="right" vertical="center"/>
    </xf>
    <xf numFmtId="0" fontId="25" fillId="2" borderId="0" xfId="0" applyFont="1" applyFill="1" applyAlignment="1">
      <alignment horizontal="right" vertical="center"/>
    </xf>
    <xf numFmtId="4" fontId="28" fillId="2" borderId="0" xfId="0" applyNumberFormat="1" applyFont="1" applyFill="1" applyAlignment="1">
      <alignment horizontal="right" vertical="center"/>
    </xf>
    <xf numFmtId="0" fontId="8" fillId="2" borderId="0" xfId="0" applyFont="1" applyFill="1" applyBorder="1" applyAlignment="1">
      <alignment horizontal="centerContinuous" vertical="center"/>
    </xf>
    <xf numFmtId="0" fontId="25" fillId="2" borderId="0" xfId="0" applyFont="1" applyFill="1" applyBorder="1" applyAlignment="1">
      <alignment horizontal="right" vertical="center"/>
    </xf>
    <xf numFmtId="4" fontId="28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 wrapText="1"/>
    </xf>
    <xf numFmtId="2" fontId="21" fillId="2" borderId="0" xfId="0" applyNumberFormat="1" applyFont="1" applyFill="1" applyAlignment="1">
      <alignment horizontal="right" vertical="center"/>
    </xf>
    <xf numFmtId="0" fontId="51" fillId="2" borderId="0" xfId="0" applyFont="1" applyFill="1" applyAlignment="1">
      <alignment vertical="center"/>
    </xf>
    <xf numFmtId="0" fontId="29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right" vertical="center"/>
    </xf>
    <xf numFmtId="4" fontId="55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/>
    </xf>
    <xf numFmtId="4" fontId="0" fillId="2" borderId="0" xfId="0" applyNumberFormat="1" applyFill="1"/>
    <xf numFmtId="49" fontId="12" fillId="2" borderId="6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48" fillId="2" borderId="7" xfId="0" applyNumberFormat="1" applyFont="1" applyFill="1" applyBorder="1" applyAlignment="1">
      <alignment horizontal="center"/>
    </xf>
    <xf numFmtId="0" fontId="12" fillId="2" borderId="5" xfId="0" applyNumberFormat="1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vertical="center"/>
    </xf>
    <xf numFmtId="49" fontId="12" fillId="2" borderId="8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0" fillId="2" borderId="0" xfId="0" applyFill="1" applyAlignment="1"/>
    <xf numFmtId="4" fontId="75" fillId="2" borderId="2" xfId="0" applyNumberFormat="1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4" fontId="52" fillId="2" borderId="6" xfId="0" applyNumberFormat="1" applyFont="1" applyFill="1" applyBorder="1" applyAlignment="1">
      <alignment horizontal="center" vertical="center" wrapText="1"/>
    </xf>
    <xf numFmtId="4" fontId="52" fillId="2" borderId="9" xfId="0" applyNumberFormat="1" applyFont="1" applyFill="1" applyBorder="1" applyAlignment="1">
      <alignment horizontal="center" vertical="center" wrapText="1"/>
    </xf>
    <xf numFmtId="4" fontId="78" fillId="2" borderId="0" xfId="0" applyNumberFormat="1" applyFont="1" applyFill="1"/>
    <xf numFmtId="0" fontId="32" fillId="2" borderId="8" xfId="0" applyFont="1" applyFill="1" applyBorder="1" applyAlignment="1">
      <alignment horizontal="right" vertical="center" wrapText="1"/>
    </xf>
    <xf numFmtId="0" fontId="18" fillId="2" borderId="5" xfId="0" applyFont="1" applyFill="1" applyBorder="1" applyAlignment="1">
      <alignment horizontal="center" vertical="center"/>
    </xf>
    <xf numFmtId="2" fontId="18" fillId="2" borderId="5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4" fontId="38" fillId="2" borderId="8" xfId="0" applyNumberFormat="1" applyFont="1" applyFill="1" applyBorder="1" applyAlignment="1">
      <alignment horizontal="center" vertical="center"/>
    </xf>
    <xf numFmtId="4" fontId="38" fillId="2" borderId="10" xfId="0" applyNumberFormat="1" applyFont="1" applyFill="1" applyBorder="1" applyAlignment="1">
      <alignment horizontal="center" vertical="center"/>
    </xf>
    <xf numFmtId="4" fontId="38" fillId="2" borderId="8" xfId="3" applyNumberFormat="1" applyFont="1" applyFill="1" applyBorder="1" applyAlignment="1">
      <alignment horizontal="center" vertical="center"/>
    </xf>
    <xf numFmtId="2" fontId="32" fillId="2" borderId="7" xfId="0" applyNumberFormat="1" applyFont="1" applyFill="1" applyBorder="1" applyAlignment="1">
      <alignment vertical="center"/>
    </xf>
    <xf numFmtId="164" fontId="32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Alignment="1">
      <alignment vertical="center"/>
    </xf>
    <xf numFmtId="4" fontId="38" fillId="2" borderId="5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left" vertical="center"/>
    </xf>
    <xf numFmtId="4" fontId="39" fillId="2" borderId="5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left" vertical="center"/>
    </xf>
    <xf numFmtId="2" fontId="38" fillId="2" borderId="5" xfId="0" applyNumberFormat="1" applyFont="1" applyFill="1" applyBorder="1" applyAlignment="1">
      <alignment horizontal="center" vertical="center"/>
    </xf>
    <xf numFmtId="4" fontId="38" fillId="2" borderId="5" xfId="0" applyNumberFormat="1" applyFont="1" applyFill="1" applyBorder="1" applyAlignment="1">
      <alignment horizontal="center" vertical="center" wrapText="1"/>
    </xf>
    <xf numFmtId="4" fontId="39" fillId="2" borderId="5" xfId="0" applyNumberFormat="1" applyFont="1" applyFill="1" applyBorder="1" applyAlignment="1">
      <alignment horizontal="center" vertical="center" wrapText="1"/>
    </xf>
    <xf numFmtId="10" fontId="46" fillId="2" borderId="1" xfId="0" applyNumberFormat="1" applyFont="1" applyFill="1" applyBorder="1" applyAlignment="1">
      <alignment horizontal="center" wrapText="1"/>
    </xf>
    <xf numFmtId="171" fontId="7" fillId="2" borderId="2" xfId="0" applyNumberFormat="1" applyFont="1" applyFill="1" applyBorder="1" applyAlignment="1">
      <alignment horizontal="left" vertical="center"/>
    </xf>
    <xf numFmtId="169" fontId="22" fillId="2" borderId="5" xfId="0" applyNumberFormat="1" applyFont="1" applyFill="1" applyBorder="1" applyAlignment="1">
      <alignment horizontal="center" vertical="center" wrapText="1"/>
    </xf>
    <xf numFmtId="168" fontId="31" fillId="2" borderId="5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top" wrapText="1"/>
    </xf>
    <xf numFmtId="4" fontId="0" fillId="2" borderId="0" xfId="0" applyNumberFormat="1" applyFill="1" applyAlignment="1">
      <alignment vertical="center"/>
    </xf>
    <xf numFmtId="171" fontId="31" fillId="2" borderId="2" xfId="1" applyNumberFormat="1" applyFont="1" applyFill="1" applyBorder="1" applyAlignment="1">
      <alignment horizontal="left" vertical="center" shrinkToFit="1"/>
    </xf>
    <xf numFmtId="4" fontId="7" fillId="2" borderId="0" xfId="0" applyNumberFormat="1" applyFont="1" applyFill="1" applyBorder="1" applyAlignment="1">
      <alignment horizontal="center" wrapText="1"/>
    </xf>
    <xf numFmtId="4" fontId="66" fillId="2" borderId="7" xfId="0" applyNumberFormat="1" applyFont="1" applyFill="1" applyBorder="1" applyAlignment="1">
      <alignment vertical="center"/>
    </xf>
    <xf numFmtId="4" fontId="27" fillId="2" borderId="0" xfId="0" applyNumberFormat="1" applyFont="1" applyFill="1" applyBorder="1" applyAlignment="1">
      <alignment vertical="center"/>
    </xf>
    <xf numFmtId="2" fontId="45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4" fontId="31" fillId="2" borderId="11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wrapText="1"/>
    </xf>
    <xf numFmtId="2" fontId="27" fillId="2" borderId="0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71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76" fillId="2" borderId="2" xfId="0" applyNumberFormat="1" applyFont="1" applyFill="1" applyBorder="1" applyAlignment="1">
      <alignment horizontal="center" vertical="center"/>
    </xf>
    <xf numFmtId="167" fontId="0" fillId="2" borderId="0" xfId="0" applyNumberFormat="1" applyFill="1" applyAlignment="1">
      <alignment vertical="center"/>
    </xf>
    <xf numFmtId="167" fontId="0" fillId="2" borderId="0" xfId="0" applyNumberFormat="1" applyFill="1"/>
    <xf numFmtId="1" fontId="10" fillId="2" borderId="5" xfId="0" applyNumberFormat="1" applyFont="1" applyFill="1" applyBorder="1" applyAlignment="1">
      <alignment horizontal="center" vertical="center"/>
    </xf>
    <xf numFmtId="2" fontId="11" fillId="2" borderId="5" xfId="0" applyNumberFormat="1" applyFont="1" applyFill="1" applyBorder="1" applyAlignment="1">
      <alignment horizontal="left" vertical="center" wrapText="1"/>
    </xf>
    <xf numFmtId="166" fontId="22" fillId="2" borderId="5" xfId="0" applyNumberFormat="1" applyFont="1" applyFill="1" applyBorder="1" applyAlignment="1">
      <alignment horizontal="center" vertical="center"/>
    </xf>
    <xf numFmtId="2" fontId="22" fillId="2" borderId="5" xfId="0" applyNumberFormat="1" applyFont="1" applyFill="1" applyBorder="1" applyAlignment="1">
      <alignment horizontal="center" vertical="center"/>
    </xf>
    <xf numFmtId="2" fontId="22" fillId="2" borderId="1" xfId="0" applyNumberFormat="1" applyFont="1" applyFill="1" applyBorder="1" applyAlignment="1">
      <alignment horizontal="center" vertical="center"/>
    </xf>
    <xf numFmtId="166" fontId="0" fillId="2" borderId="0" xfId="0" applyNumberFormat="1" applyFill="1"/>
    <xf numFmtId="10" fontId="47" fillId="2" borderId="1" xfId="0" applyNumberFormat="1" applyFont="1" applyFill="1" applyBorder="1" applyAlignment="1">
      <alignment vertical="center"/>
    </xf>
    <xf numFmtId="4" fontId="22" fillId="2" borderId="5" xfId="0" applyNumberFormat="1" applyFont="1" applyFill="1" applyBorder="1" applyAlignment="1">
      <alignment horizontal="center" vertical="center" wrapText="1"/>
    </xf>
    <xf numFmtId="0" fontId="47" fillId="2" borderId="0" xfId="0" applyFont="1" applyFill="1" applyAlignment="1">
      <alignment vertical="center"/>
    </xf>
    <xf numFmtId="171" fontId="7" fillId="2" borderId="12" xfId="0" applyNumberFormat="1" applyFont="1" applyFill="1" applyBorder="1" applyAlignment="1">
      <alignment horizontal="left" vertical="center"/>
    </xf>
    <xf numFmtId="4" fontId="64" fillId="2" borderId="0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/>
    </xf>
    <xf numFmtId="2" fontId="22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 indent="2"/>
    </xf>
    <xf numFmtId="0" fontId="11" fillId="2" borderId="0" xfId="0" applyFont="1" applyFill="1" applyBorder="1" applyAlignment="1">
      <alignment horizontal="center" vertical="center"/>
    </xf>
    <xf numFmtId="2" fontId="26" fillId="2" borderId="0" xfId="0" applyNumberFormat="1" applyFont="1" applyFill="1" applyBorder="1" applyAlignment="1">
      <alignment horizontal="center" vertical="center"/>
    </xf>
    <xf numFmtId="2" fontId="12" fillId="2" borderId="15" xfId="0" applyNumberFormat="1" applyFont="1" applyFill="1" applyBorder="1" applyAlignment="1">
      <alignment horizontal="center" vertical="center" wrapText="1"/>
    </xf>
    <xf numFmtId="2" fontId="12" fillId="2" borderId="16" xfId="0" applyNumberFormat="1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4" fontId="22" fillId="2" borderId="19" xfId="0" applyNumberFormat="1" applyFont="1" applyFill="1" applyBorder="1" applyAlignment="1">
      <alignment horizontal="center" vertical="center"/>
    </xf>
    <xf numFmtId="4" fontId="22" fillId="2" borderId="20" xfId="0" applyNumberFormat="1" applyFont="1" applyFill="1" applyBorder="1" applyAlignment="1">
      <alignment horizontal="center" vertical="center" wrapText="1"/>
    </xf>
    <xf numFmtId="4" fontId="22" fillId="2" borderId="0" xfId="0" applyNumberFormat="1" applyFont="1" applyFill="1" applyBorder="1" applyAlignment="1">
      <alignment horizontal="center" vertical="center"/>
    </xf>
    <xf numFmtId="4" fontId="22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4" fontId="77" fillId="2" borderId="0" xfId="0" applyNumberFormat="1" applyFont="1" applyFill="1"/>
    <xf numFmtId="1" fontId="0" fillId="2" borderId="1" xfId="0" applyNumberFormat="1" applyFill="1" applyBorder="1" applyAlignment="1">
      <alignment horizontal="centerContinuous" vertical="center"/>
    </xf>
    <xf numFmtId="166" fontId="1" fillId="2" borderId="5" xfId="0" applyNumberFormat="1" applyFont="1" applyFill="1" applyBorder="1" applyAlignment="1">
      <alignment horizontal="centerContinuous" vertical="center"/>
    </xf>
    <xf numFmtId="2" fontId="1" fillId="2" borderId="21" xfId="0" applyNumberFormat="1" applyFont="1" applyFill="1" applyBorder="1" applyAlignment="1">
      <alignment horizontal="centerContinuous" vertical="center"/>
    </xf>
    <xf numFmtId="2" fontId="1" fillId="2" borderId="22" xfId="0" applyNumberFormat="1" applyFont="1" applyFill="1" applyBorder="1" applyAlignment="1">
      <alignment horizontal="center" vertical="center"/>
    </xf>
    <xf numFmtId="1" fontId="10" fillId="2" borderId="23" xfId="0" applyNumberFormat="1" applyFont="1" applyFill="1" applyBorder="1" applyAlignment="1">
      <alignment horizontal="center" vertical="center"/>
    </xf>
    <xf numFmtId="166" fontId="30" fillId="2" borderId="23" xfId="0" applyNumberFormat="1" applyFont="1" applyFill="1" applyBorder="1" applyAlignment="1">
      <alignment horizontal="center" vertical="center"/>
    </xf>
    <xf numFmtId="2" fontId="22" fillId="2" borderId="23" xfId="0" applyNumberFormat="1" applyFont="1" applyFill="1" applyBorder="1" applyAlignment="1">
      <alignment horizontal="right" vertical="center" indent="1"/>
    </xf>
    <xf numFmtId="4" fontId="22" fillId="2" borderId="23" xfId="0" applyNumberFormat="1" applyFont="1" applyFill="1" applyBorder="1" applyAlignment="1">
      <alignment horizontal="right" vertical="center"/>
    </xf>
    <xf numFmtId="2" fontId="0" fillId="2" borderId="0" xfId="0" applyNumberFormat="1" applyFill="1" applyAlignment="1">
      <alignment vertical="center"/>
    </xf>
    <xf numFmtId="0" fontId="17" fillId="2" borderId="24" xfId="0" applyFont="1" applyFill="1" applyBorder="1" applyAlignment="1">
      <alignment horizontal="right" vertical="center" wrapText="1"/>
    </xf>
    <xf numFmtId="0" fontId="11" fillId="2" borderId="24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center" vertical="center" wrapText="1"/>
    </xf>
    <xf numFmtId="2" fontId="10" fillId="2" borderId="24" xfId="0" applyNumberFormat="1" applyFont="1" applyFill="1" applyBorder="1" applyAlignment="1">
      <alignment horizontal="right" vertical="center"/>
    </xf>
    <xf numFmtId="166" fontId="10" fillId="2" borderId="24" xfId="0" applyNumberFormat="1" applyFont="1" applyFill="1" applyBorder="1" applyAlignment="1">
      <alignment horizontal="right" vertical="center"/>
    </xf>
    <xf numFmtId="0" fontId="10" fillId="2" borderId="24" xfId="0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right" vertical="center"/>
    </xf>
    <xf numFmtId="0" fontId="17" fillId="2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 wrapText="1"/>
    </xf>
    <xf numFmtId="2" fontId="10" fillId="2" borderId="0" xfId="0" applyNumberFormat="1" applyFont="1" applyFill="1" applyAlignment="1">
      <alignment horizontal="right" vertical="center"/>
    </xf>
    <xf numFmtId="166" fontId="10" fillId="2" borderId="0" xfId="0" applyNumberFormat="1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4" fontId="16" fillId="2" borderId="0" xfId="0" applyNumberFormat="1" applyFont="1" applyFill="1" applyAlignment="1">
      <alignment horizontal="left" vertical="center"/>
    </xf>
    <xf numFmtId="4" fontId="10" fillId="2" borderId="0" xfId="0" applyNumberFormat="1" applyFont="1" applyFill="1" applyAlignment="1">
      <alignment horizontal="right" vertical="center"/>
    </xf>
    <xf numFmtId="0" fontId="43" fillId="2" borderId="0" xfId="0" applyFont="1" applyFill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0" fontId="43" fillId="2" borderId="0" xfId="0" applyFont="1" applyFill="1" applyAlignment="1">
      <alignment horizontal="center" vertical="center"/>
    </xf>
    <xf numFmtId="0" fontId="43" fillId="2" borderId="0" xfId="0" applyFont="1" applyFill="1" applyAlignment="1">
      <alignment horizontal="left" vertical="center"/>
    </xf>
    <xf numFmtId="0" fontId="43" fillId="2" borderId="0" xfId="0" applyFont="1" applyFill="1" applyAlignment="1">
      <alignment horizontal="right" vertical="center"/>
    </xf>
    <xf numFmtId="172" fontId="43" fillId="2" borderId="0" xfId="0" applyNumberFormat="1" applyFont="1" applyFill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9" fontId="42" fillId="2" borderId="0" xfId="0" applyNumberFormat="1" applyFont="1" applyFill="1" applyBorder="1" applyAlignment="1">
      <alignment horizontal="center" vertical="center" wrapText="1"/>
    </xf>
    <xf numFmtId="9" fontId="42" fillId="2" borderId="0" xfId="0" applyNumberFormat="1" applyFont="1" applyFill="1" applyBorder="1" applyAlignment="1">
      <alignment horizontal="center" vertical="center"/>
    </xf>
    <xf numFmtId="9" fontId="42" fillId="2" borderId="3" xfId="0" applyNumberFormat="1" applyFont="1" applyFill="1" applyBorder="1" applyAlignment="1">
      <alignment horizontal="center" vertical="center"/>
    </xf>
    <xf numFmtId="9" fontId="8" fillId="2" borderId="2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top"/>
    </xf>
    <xf numFmtId="0" fontId="36" fillId="2" borderId="0" xfId="0" applyFont="1" applyFill="1" applyAlignment="1">
      <alignment horizontal="right" vertical="center"/>
    </xf>
    <xf numFmtId="0" fontId="0" fillId="2" borderId="0" xfId="0" applyFill="1" applyAlignment="1">
      <alignment horizontal="centerContinuous"/>
    </xf>
    <xf numFmtId="0" fontId="29" fillId="2" borderId="0" xfId="0" applyFont="1" applyFill="1" applyAlignment="1">
      <alignment horizontal="centerContinuous"/>
    </xf>
    <xf numFmtId="0" fontId="26" fillId="2" borderId="0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Continuous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Continuous"/>
    </xf>
    <xf numFmtId="0" fontId="33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/>
    </xf>
    <xf numFmtId="170" fontId="0" fillId="2" borderId="0" xfId="0" applyNumberFormat="1" applyFill="1" applyBorder="1" applyAlignment="1">
      <alignment horizontal="center"/>
    </xf>
    <xf numFmtId="0" fontId="29" fillId="2" borderId="0" xfId="0" applyFont="1" applyFill="1" applyAlignment="1">
      <alignment horizontal="center" vertical="center" wrapText="1"/>
    </xf>
    <xf numFmtId="0" fontId="29" fillId="2" borderId="0" xfId="0" applyFont="1" applyFill="1" applyAlignment="1">
      <alignment horizontal="center" vertical="center"/>
    </xf>
    <xf numFmtId="0" fontId="56" fillId="2" borderId="0" xfId="0" applyFont="1" applyFill="1" applyAlignment="1">
      <alignment horizontal="right" vertical="center"/>
    </xf>
    <xf numFmtId="4" fontId="55" fillId="2" borderId="0" xfId="0" applyNumberFormat="1" applyFont="1" applyFill="1" applyAlignment="1">
      <alignment horizontal="right" vertical="center"/>
    </xf>
    <xf numFmtId="49" fontId="8" fillId="2" borderId="6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vertical="center" wrapText="1"/>
    </xf>
    <xf numFmtId="0" fontId="65" fillId="2" borderId="0" xfId="0" applyFont="1" applyFill="1" applyAlignment="1">
      <alignment horizontal="center" wrapText="1"/>
    </xf>
    <xf numFmtId="0" fontId="37" fillId="2" borderId="0" xfId="0" applyFont="1" applyFill="1" applyBorder="1" applyAlignment="1">
      <alignment horizontal="right" vertical="center"/>
    </xf>
    <xf numFmtId="2" fontId="27" fillId="2" borderId="0" xfId="0" applyNumberFormat="1" applyFont="1" applyFill="1" applyBorder="1" applyAlignment="1">
      <alignment horizontal="right" vertical="center"/>
    </xf>
    <xf numFmtId="165" fontId="7" fillId="2" borderId="2" xfId="0" applyNumberFormat="1" applyFont="1" applyFill="1" applyBorder="1" applyAlignment="1">
      <alignment horizontal="left" vertical="center" wrapText="1"/>
    </xf>
    <xf numFmtId="0" fontId="57" fillId="2" borderId="27" xfId="0" applyFont="1" applyFill="1" applyBorder="1" applyAlignment="1">
      <alignment horizontal="right" vertical="center" indent="1"/>
    </xf>
    <xf numFmtId="0" fontId="43" fillId="2" borderId="0" xfId="0" applyFont="1" applyFill="1" applyAlignment="1">
      <alignment horizontal="right" vertical="center" indent="1"/>
    </xf>
    <xf numFmtId="0" fontId="5" fillId="2" borderId="0" xfId="0" applyFont="1" applyFill="1" applyBorder="1" applyAlignment="1">
      <alignment horizontal="right" vertical="center" indent="1"/>
    </xf>
    <xf numFmtId="0" fontId="17" fillId="2" borderId="0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left"/>
    </xf>
    <xf numFmtId="1" fontId="29" fillId="2" borderId="7" xfId="0" applyNumberFormat="1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vertical="center" wrapText="1"/>
    </xf>
    <xf numFmtId="13" fontId="40" fillId="2" borderId="0" xfId="0" applyNumberFormat="1" applyFont="1" applyFill="1" applyAlignment="1">
      <alignment horizontal="right" vertical="center" wrapText="1"/>
    </xf>
    <xf numFmtId="4" fontId="42" fillId="2" borderId="0" xfId="0" applyNumberFormat="1" applyFont="1" applyFill="1" applyBorder="1" applyAlignment="1">
      <alignment horizontal="center" vertical="center" wrapText="1"/>
    </xf>
    <xf numFmtId="4" fontId="41" fillId="2" borderId="2" xfId="0" applyNumberFormat="1" applyFont="1" applyFill="1" applyBorder="1" applyAlignment="1">
      <alignment horizontal="center" vertical="center" wrapText="1"/>
    </xf>
    <xf numFmtId="4" fontId="22" fillId="2" borderId="18" xfId="0" applyNumberFormat="1" applyFont="1" applyFill="1" applyBorder="1" applyAlignment="1">
      <alignment horizontal="center" vertical="center"/>
    </xf>
    <xf numFmtId="4" fontId="22" fillId="2" borderId="2" xfId="0" applyNumberFormat="1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 wrapText="1"/>
    </xf>
    <xf numFmtId="0" fontId="6" fillId="2" borderId="1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vertical="center"/>
    </xf>
    <xf numFmtId="4" fontId="22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9" fontId="69" fillId="2" borderId="0" xfId="0" applyNumberFormat="1" applyFont="1" applyFill="1" applyAlignment="1">
      <alignment vertical="center"/>
    </xf>
    <xf numFmtId="9" fontId="65" fillId="2" borderId="0" xfId="0" applyNumberFormat="1" applyFont="1" applyFill="1" applyAlignment="1">
      <alignment horizontal="left" vertical="center"/>
    </xf>
    <xf numFmtId="9" fontId="69" fillId="2" borderId="0" xfId="0" applyNumberFormat="1" applyFont="1" applyFill="1" applyAlignment="1">
      <alignment horizontal="left" vertical="center"/>
    </xf>
    <xf numFmtId="2" fontId="50" fillId="2" borderId="0" xfId="0" applyNumberFormat="1" applyFont="1" applyFill="1" applyBorder="1" applyAlignment="1">
      <alignment horizontal="center" vertical="center" wrapText="1"/>
    </xf>
    <xf numFmtId="4" fontId="53" fillId="2" borderId="30" xfId="0" applyNumberFormat="1" applyFont="1" applyFill="1" applyBorder="1" applyAlignment="1">
      <alignment horizontal="center" vertical="center" wrapText="1"/>
    </xf>
    <xf numFmtId="4" fontId="53" fillId="2" borderId="31" xfId="0" applyNumberFormat="1" applyFont="1" applyFill="1" applyBorder="1" applyAlignment="1">
      <alignment horizontal="center" vertical="center" wrapText="1"/>
    </xf>
    <xf numFmtId="4" fontId="42" fillId="2" borderId="0" xfId="0" applyNumberFormat="1" applyFont="1" applyFill="1" applyBorder="1" applyAlignment="1">
      <alignment horizontal="center" vertical="center" shrinkToFit="1"/>
    </xf>
    <xf numFmtId="4" fontId="42" fillId="2" borderId="0" xfId="0" applyNumberFormat="1" applyFont="1" applyFill="1" applyBorder="1" applyAlignment="1">
      <alignment horizontal="center" vertical="center" wrapText="1"/>
    </xf>
    <xf numFmtId="4" fontId="41" fillId="2" borderId="35" xfId="0" applyNumberFormat="1" applyFont="1" applyFill="1" applyBorder="1" applyAlignment="1">
      <alignment horizontal="center" vertical="center"/>
    </xf>
    <xf numFmtId="4" fontId="41" fillId="2" borderId="36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2" fontId="11" fillId="2" borderId="44" xfId="0" applyNumberFormat="1" applyFont="1" applyFill="1" applyBorder="1" applyAlignment="1">
      <alignment horizontal="left" vertical="center" wrapText="1" readingOrder="1"/>
    </xf>
    <xf numFmtId="0" fontId="0" fillId="0" borderId="45" xfId="0" applyBorder="1" applyAlignment="1">
      <alignment horizontal="left" vertical="center" wrapText="1" readingOrder="1"/>
    </xf>
    <xf numFmtId="0" fontId="0" fillId="0" borderId="46" xfId="0" applyBorder="1" applyAlignment="1">
      <alignment horizontal="left" vertical="center" wrapText="1" readingOrder="1"/>
    </xf>
    <xf numFmtId="4" fontId="22" fillId="2" borderId="23" xfId="0" applyNumberFormat="1" applyFont="1" applyFill="1" applyBorder="1" applyAlignment="1">
      <alignment horizontal="right" vertical="center" inden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" fontId="22" fillId="2" borderId="24" xfId="0" applyNumberFormat="1" applyFont="1" applyFill="1" applyBorder="1" applyAlignment="1">
      <alignment horizontal="right" vertical="center" indent="1"/>
    </xf>
    <xf numFmtId="4" fontId="41" fillId="2" borderId="1" xfId="0" applyNumberFormat="1" applyFont="1" applyFill="1" applyBorder="1" applyAlignment="1">
      <alignment horizontal="center" vertical="center" wrapText="1"/>
    </xf>
    <xf numFmtId="4" fontId="41" fillId="2" borderId="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 vertical="center"/>
    </xf>
    <xf numFmtId="0" fontId="11" fillId="2" borderId="32" xfId="0" applyFont="1" applyFill="1" applyBorder="1" applyAlignment="1">
      <alignment horizontal="right" vertical="center"/>
    </xf>
    <xf numFmtId="4" fontId="22" fillId="2" borderId="1" xfId="0" applyNumberFormat="1" applyFont="1" applyFill="1" applyBorder="1" applyAlignment="1">
      <alignment horizontal="center" vertical="center" wrapText="1"/>
    </xf>
    <xf numFmtId="4" fontId="22" fillId="2" borderId="2" xfId="0" applyNumberFormat="1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right" vertical="center"/>
    </xf>
    <xf numFmtId="4" fontId="22" fillId="2" borderId="33" xfId="0" applyNumberFormat="1" applyFont="1" applyFill="1" applyBorder="1" applyAlignment="1">
      <alignment horizontal="center" vertical="center" wrapText="1"/>
    </xf>
    <xf numFmtId="4" fontId="22" fillId="2" borderId="12" xfId="0" applyNumberFormat="1" applyFont="1" applyFill="1" applyBorder="1" applyAlignment="1">
      <alignment horizontal="center" vertical="center" wrapText="1"/>
    </xf>
    <xf numFmtId="0" fontId="37" fillId="2" borderId="27" xfId="0" applyFont="1" applyFill="1" applyBorder="1" applyAlignment="1">
      <alignment horizontal="right" vertical="center" wrapText="1" indent="2"/>
    </xf>
    <xf numFmtId="0" fontId="37" fillId="2" borderId="17" xfId="0" applyFont="1" applyFill="1" applyBorder="1" applyAlignment="1">
      <alignment horizontal="right" vertical="center" wrapText="1" indent="2"/>
    </xf>
    <xf numFmtId="4" fontId="58" fillId="2" borderId="26" xfId="0" applyNumberFormat="1" applyFont="1" applyFill="1" applyBorder="1" applyAlignment="1">
      <alignment horizontal="center" vertical="center" wrapText="1"/>
    </xf>
    <xf numFmtId="4" fontId="58" fillId="2" borderId="14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/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4" fontId="22" fillId="2" borderId="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32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0" fillId="2" borderId="32" xfId="0" applyFill="1" applyBorder="1"/>
    <xf numFmtId="0" fontId="32" fillId="2" borderId="0" xfId="0" applyFont="1" applyFill="1" applyBorder="1" applyAlignment="1">
      <alignment horizontal="right" vertical="center"/>
    </xf>
    <xf numFmtId="0" fontId="32" fillId="2" borderId="25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top"/>
    </xf>
    <xf numFmtId="0" fontId="67" fillId="2" borderId="0" xfId="0" applyFont="1" applyFill="1" applyAlignment="1">
      <alignment horizontal="center"/>
    </xf>
    <xf numFmtId="0" fontId="22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11" fontId="12" fillId="2" borderId="0" xfId="0" applyNumberFormat="1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left" wrapText="1"/>
    </xf>
    <xf numFmtId="0" fontId="20" fillId="2" borderId="0" xfId="0" applyFont="1" applyFill="1" applyAlignment="1">
      <alignment horizontal="left" wrapText="1"/>
    </xf>
    <xf numFmtId="49" fontId="61" fillId="2" borderId="9" xfId="0" applyNumberFormat="1" applyFont="1" applyFill="1" applyBorder="1" applyAlignment="1">
      <alignment horizontal="center" vertical="center" wrapText="1"/>
    </xf>
    <xf numFmtId="49" fontId="61" fillId="2" borderId="40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49" fontId="30" fillId="2" borderId="2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3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31" fillId="2" borderId="10" xfId="0" applyNumberFormat="1" applyFont="1" applyFill="1" applyBorder="1" applyAlignment="1">
      <alignment horizontal="center" vertical="center" wrapText="1"/>
    </xf>
    <xf numFmtId="49" fontId="31" fillId="2" borderId="39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shrinkToFit="1"/>
    </xf>
    <xf numFmtId="4" fontId="8" fillId="2" borderId="2" xfId="0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right" wrapText="1"/>
    </xf>
    <xf numFmtId="0" fontId="0" fillId="2" borderId="0" xfId="0" applyFill="1" applyBorder="1" applyAlignment="1">
      <alignment horizontal="left" wrapText="1"/>
    </xf>
    <xf numFmtId="4" fontId="41" fillId="2" borderId="37" xfId="0" applyNumberFormat="1" applyFont="1" applyFill="1" applyBorder="1" applyAlignment="1">
      <alignment horizontal="center" vertical="center" wrapText="1"/>
    </xf>
    <xf numFmtId="4" fontId="41" fillId="2" borderId="38" xfId="0" applyNumberFormat="1" applyFont="1" applyFill="1" applyBorder="1" applyAlignment="1">
      <alignment horizontal="center" vertical="center" wrapText="1"/>
    </xf>
    <xf numFmtId="4" fontId="42" fillId="2" borderId="0" xfId="0" applyNumberFormat="1" applyFont="1" applyFill="1" applyBorder="1" applyAlignment="1">
      <alignment horizontal="center" vertical="center"/>
    </xf>
    <xf numFmtId="4" fontId="41" fillId="2" borderId="28" xfId="0" applyNumberFormat="1" applyFont="1" applyFill="1" applyBorder="1" applyAlignment="1">
      <alignment horizontal="center" vertical="center"/>
    </xf>
    <xf numFmtId="4" fontId="41" fillId="2" borderId="29" xfId="0" applyNumberFormat="1" applyFont="1" applyFill="1" applyBorder="1" applyAlignment="1">
      <alignment horizontal="center" vertical="center"/>
    </xf>
    <xf numFmtId="4" fontId="42" fillId="2" borderId="3" xfId="0" applyNumberFormat="1" applyFont="1" applyFill="1" applyBorder="1" applyAlignment="1">
      <alignment horizontal="center" vertical="center"/>
    </xf>
    <xf numFmtId="4" fontId="42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10" fillId="2" borderId="32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4" fontId="22" fillId="2" borderId="34" xfId="0" applyNumberFormat="1" applyFont="1" applyFill="1" applyBorder="1" applyAlignment="1">
      <alignment horizontal="center" vertical="center"/>
    </xf>
    <xf numFmtId="4" fontId="22" fillId="2" borderId="18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left" vertical="center" wrapText="1" readingOrder="1"/>
    </xf>
    <xf numFmtId="0" fontId="0" fillId="0" borderId="42" xfId="0" applyBorder="1" applyAlignment="1">
      <alignment horizontal="left" vertical="center" wrapText="1" readingOrder="1"/>
    </xf>
    <xf numFmtId="0" fontId="0" fillId="0" borderId="43" xfId="0" applyBorder="1" applyAlignment="1">
      <alignment horizontal="left" vertical="center" wrapText="1" readingOrder="1"/>
    </xf>
    <xf numFmtId="2" fontId="26" fillId="2" borderId="1" xfId="0" applyNumberFormat="1" applyFont="1" applyFill="1" applyBorder="1" applyAlignment="1">
      <alignment horizontal="center" vertical="center"/>
    </xf>
    <xf numFmtId="2" fontId="26" fillId="2" borderId="2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 indent="3"/>
    </xf>
    <xf numFmtId="0" fontId="11" fillId="2" borderId="32" xfId="0" applyFont="1" applyFill="1" applyBorder="1" applyAlignment="1">
      <alignment horizontal="right" vertical="center" indent="3"/>
    </xf>
    <xf numFmtId="0" fontId="11" fillId="2" borderId="2" xfId="0" applyFont="1" applyFill="1" applyBorder="1" applyAlignment="1">
      <alignment horizontal="right" vertical="center" indent="3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62" fillId="2" borderId="9" xfId="0" applyFont="1" applyFill="1" applyBorder="1" applyAlignment="1">
      <alignment horizontal="center" vertical="center" wrapText="1"/>
    </xf>
    <xf numFmtId="0" fontId="62" fillId="2" borderId="40" xfId="0" applyFont="1" applyFill="1" applyBorder="1" applyAlignment="1">
      <alignment horizontal="center" vertical="center" wrapText="1"/>
    </xf>
    <xf numFmtId="0" fontId="62" fillId="2" borderId="10" xfId="0" applyFont="1" applyFill="1" applyBorder="1" applyAlignment="1">
      <alignment horizontal="center" vertical="center" wrapText="1"/>
    </xf>
    <xf numFmtId="0" fontId="62" fillId="2" borderId="3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right" vertical="center" wrapText="1"/>
    </xf>
    <xf numFmtId="4" fontId="54" fillId="2" borderId="0" xfId="0" applyNumberFormat="1" applyFont="1" applyFill="1" applyBorder="1" applyAlignment="1">
      <alignment horizontal="right" vertical="center" wrapText="1"/>
    </xf>
    <xf numFmtId="0" fontId="30" fillId="2" borderId="1" xfId="0" applyFont="1" applyFill="1" applyBorder="1" applyAlignment="1">
      <alignment horizontal="right" vertical="center" wrapText="1" indent="1"/>
    </xf>
    <xf numFmtId="0" fontId="30" fillId="2" borderId="32" xfId="0" applyFont="1" applyFill="1" applyBorder="1" applyAlignment="1">
      <alignment horizontal="right" vertical="center" wrapText="1" indent="1"/>
    </xf>
    <xf numFmtId="0" fontId="30" fillId="2" borderId="2" xfId="0" applyFont="1" applyFill="1" applyBorder="1" applyAlignment="1">
      <alignment horizontal="right" vertical="center" wrapText="1" indent="1"/>
    </xf>
    <xf numFmtId="0" fontId="10" fillId="2" borderId="1" xfId="0" applyFont="1" applyFill="1" applyBorder="1" applyAlignment="1">
      <alignment horizontal="right" vertical="center" wrapText="1"/>
    </xf>
    <xf numFmtId="0" fontId="10" fillId="2" borderId="32" xfId="0" applyFont="1" applyFill="1" applyBorder="1" applyAlignment="1">
      <alignment horizontal="right" vertical="center" wrapText="1"/>
    </xf>
    <xf numFmtId="2" fontId="10" fillId="2" borderId="32" xfId="0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35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/>
    </xf>
    <xf numFmtId="0" fontId="68" fillId="2" borderId="0" xfId="0" applyFont="1" applyFill="1" applyAlignment="1">
      <alignment horizontal="center" vertical="center"/>
    </xf>
  </cellXfs>
  <cellStyles count="5">
    <cellStyle name="Обычный" xfId="0" builtinId="0"/>
    <cellStyle name="Процентный" xfId="1" builtinId="5"/>
    <cellStyle name="Процентный 2" xfId="2"/>
    <cellStyle name="Финансовый" xfId="3" builtinId="3"/>
    <cellStyle name="Финансовый 2" xfId="4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S112"/>
  <sheetViews>
    <sheetView showGridLines="0" tabSelected="1" workbookViewId="0">
      <selection activeCell="A16" sqref="A16:G16"/>
    </sheetView>
  </sheetViews>
  <sheetFormatPr defaultColWidth="9.140625" defaultRowHeight="12.75"/>
  <cols>
    <col min="1" max="2" width="5.140625" customWidth="1"/>
    <col min="3" max="3" width="4.85546875" customWidth="1"/>
    <col min="4" max="4" width="45.7109375" customWidth="1"/>
    <col min="5" max="6" width="6.85546875" customWidth="1"/>
    <col min="7" max="7" width="11.85546875" customWidth="1"/>
    <col min="8" max="10" width="10.7109375" customWidth="1"/>
    <col min="11" max="11" width="9.85546875" customWidth="1"/>
    <col min="12" max="12" width="9.5703125" customWidth="1"/>
    <col min="13" max="13" width="7.5703125" hidden="1" customWidth="1"/>
    <col min="14" max="14" width="5" hidden="1" customWidth="1"/>
    <col min="15" max="15" width="5.140625" hidden="1" customWidth="1"/>
    <col min="16" max="17" width="9.140625" hidden="1" customWidth="1"/>
    <col min="19" max="19" width="9.140625" customWidth="1"/>
    <col min="22" max="22" width="9.140625" customWidth="1"/>
  </cols>
  <sheetData>
    <row r="1" spans="1:16" s="1" customFormat="1" ht="15">
      <c r="A1" s="2"/>
      <c r="B1" s="2"/>
      <c r="C1" s="2"/>
      <c r="D1" s="2"/>
      <c r="E1" s="2"/>
      <c r="F1" s="2"/>
      <c r="G1" s="2"/>
      <c r="H1" s="2"/>
      <c r="I1" s="255" t="s">
        <v>0</v>
      </c>
      <c r="J1" s="255"/>
      <c r="K1" s="255"/>
      <c r="L1" s="255"/>
      <c r="M1" s="32"/>
      <c r="N1" s="33"/>
      <c r="O1" s="34"/>
      <c r="P1" s="1">
        <v>0</v>
      </c>
    </row>
    <row r="2" spans="1:16" s="1" customFormat="1" ht="16.5" customHeight="1">
      <c r="A2" s="2"/>
      <c r="B2" s="150" t="s">
        <v>1</v>
      </c>
      <c r="C2" s="3" t="s">
        <v>113</v>
      </c>
      <c r="D2" s="2"/>
      <c r="E2" s="151"/>
      <c r="F2" s="2"/>
      <c r="G2" s="2"/>
      <c r="H2" s="2"/>
      <c r="I2" s="330" t="str">
        <f>IF(L18&gt;0,"Сметную стоимость в сумме "&amp;FIXED(L18,2)&amp;" руб","")</f>
        <v/>
      </c>
      <c r="J2" s="330"/>
      <c r="K2" s="330"/>
      <c r="L2" s="330"/>
      <c r="M2" s="32"/>
      <c r="N2" s="33"/>
      <c r="O2" s="34"/>
    </row>
    <row r="3" spans="1:16" s="1" customFormat="1" ht="14.25">
      <c r="A3" s="2"/>
      <c r="B3" s="150" t="s">
        <v>3</v>
      </c>
      <c r="C3" s="3" t="s">
        <v>114</v>
      </c>
      <c r="D3" s="2"/>
      <c r="E3" s="152"/>
      <c r="F3" s="2"/>
      <c r="G3" s="2"/>
      <c r="H3" s="153"/>
      <c r="I3" s="196"/>
      <c r="J3" s="154" t="s">
        <v>2</v>
      </c>
      <c r="K3" s="154"/>
      <c r="L3" s="154"/>
      <c r="M3" s="32"/>
      <c r="N3" s="33"/>
      <c r="O3" s="34"/>
    </row>
    <row r="4" spans="1:16" s="1" customFormat="1" ht="13.5">
      <c r="A4" s="2"/>
      <c r="B4" s="150" t="s">
        <v>4</v>
      </c>
      <c r="C4" s="3" t="s">
        <v>115</v>
      </c>
      <c r="D4" s="2"/>
      <c r="E4" s="152"/>
      <c r="F4" s="2"/>
      <c r="G4" s="2"/>
      <c r="H4" s="153"/>
      <c r="I4" s="196"/>
      <c r="J4" s="151"/>
      <c r="K4" s="151"/>
      <c r="L4" s="151"/>
      <c r="M4" s="32"/>
      <c r="N4" s="33"/>
      <c r="O4" s="34"/>
    </row>
    <row r="5" spans="1:16" s="1" customFormat="1" ht="13.5">
      <c r="A5" s="2"/>
      <c r="B5" s="150" t="s">
        <v>5</v>
      </c>
      <c r="C5" s="3" t="s">
        <v>116</v>
      </c>
      <c r="D5" s="2"/>
      <c r="E5" s="152"/>
      <c r="F5" s="2"/>
      <c r="G5" s="2"/>
      <c r="H5" s="153"/>
      <c r="I5" s="155"/>
      <c r="J5" s="156"/>
      <c r="K5" s="156"/>
      <c r="L5" s="156"/>
      <c r="M5" s="32"/>
      <c r="N5" s="33"/>
      <c r="O5" s="34"/>
    </row>
    <row r="6" spans="1:16" s="1" customFormat="1" ht="13.5">
      <c r="A6" s="2"/>
      <c r="B6" s="150" t="s">
        <v>6</v>
      </c>
      <c r="C6" s="3"/>
      <c r="D6" s="2"/>
      <c r="E6" s="3"/>
      <c r="F6" s="2"/>
      <c r="G6" s="2"/>
      <c r="H6" s="153"/>
      <c r="I6" s="196"/>
      <c r="M6" s="32"/>
      <c r="N6" s="33"/>
      <c r="O6" s="34"/>
    </row>
    <row r="7" spans="1:16" s="1" customFormat="1" ht="13.5">
      <c r="A7" s="188"/>
      <c r="B7" s="188"/>
      <c r="C7" s="188"/>
      <c r="D7" s="188"/>
      <c r="E7" s="188"/>
      <c r="F7" s="188"/>
      <c r="G7" s="188"/>
      <c r="H7" s="157"/>
      <c r="I7" s="158" t="s">
        <v>7</v>
      </c>
      <c r="J7" s="155"/>
      <c r="K7" s="156"/>
      <c r="L7" s="159">
        <v>44428</v>
      </c>
      <c r="M7" s="32"/>
      <c r="N7" s="33"/>
      <c r="O7" s="34"/>
    </row>
    <row r="8" spans="1:16" s="1" customFormat="1">
      <c r="A8" s="256"/>
      <c r="B8" s="256"/>
      <c r="C8" s="256"/>
      <c r="D8" s="256"/>
      <c r="E8" s="256"/>
      <c r="F8" s="256"/>
      <c r="G8" s="256"/>
      <c r="H8" s="2"/>
      <c r="I8" s="2"/>
      <c r="J8" s="2"/>
      <c r="K8" s="2"/>
      <c r="L8" s="196"/>
      <c r="M8" s="32"/>
      <c r="N8" s="33"/>
      <c r="O8" s="34"/>
    </row>
    <row r="9" spans="1:16" s="1" customFormat="1" ht="36.75" customHeight="1">
      <c r="A9" s="257" t="s">
        <v>117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32"/>
      <c r="N9" s="33"/>
      <c r="O9" s="34"/>
    </row>
    <row r="10" spans="1:16" s="1" customFormat="1" ht="21" customHeight="1">
      <c r="A10" s="331" t="s">
        <v>122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2"/>
      <c r="N10" s="33"/>
      <c r="O10" s="34"/>
    </row>
    <row r="11" spans="1:16" s="1" customFormat="1" ht="6.75" customHeight="1">
      <c r="A11" s="2"/>
      <c r="B11" s="29"/>
      <c r="C11" s="196"/>
      <c r="D11" s="196"/>
      <c r="E11" s="4"/>
      <c r="F11" s="2"/>
      <c r="G11" s="2"/>
      <c r="H11" s="2"/>
      <c r="I11" s="2"/>
      <c r="J11" s="2"/>
      <c r="K11" s="2"/>
      <c r="L11" s="196"/>
      <c r="M11" s="32"/>
      <c r="N11" s="33"/>
      <c r="O11" s="34"/>
    </row>
    <row r="12" spans="1:16" s="1" customFormat="1" ht="15" customHeight="1">
      <c r="A12" s="259" t="s">
        <v>17</v>
      </c>
      <c r="B12" s="259"/>
      <c r="C12" s="259"/>
      <c r="D12" s="259"/>
      <c r="E12" s="6"/>
      <c r="F12" s="7" t="str">
        <f>TRUNC((RIGHT(LEFT("01.10.2021",5),2)-1)/3,0)+1&amp;"кв. "&amp;RIGHT("01.10.2021",4)&amp;"г."</f>
        <v>4кв. 2021г.</v>
      </c>
      <c r="G12" s="8"/>
      <c r="H12" s="9"/>
      <c r="I12" s="195"/>
      <c r="J12" s="2"/>
      <c r="K12" s="9"/>
      <c r="L12" s="5" t="s">
        <v>118</v>
      </c>
      <c r="M12" s="32"/>
      <c r="N12" s="33"/>
      <c r="O12" s="34"/>
    </row>
    <row r="13" spans="1:16" s="1" customFormat="1" ht="14.1" customHeight="1">
      <c r="A13" s="260" t="s">
        <v>38</v>
      </c>
      <c r="B13" s="260"/>
      <c r="C13" s="260"/>
      <c r="D13" s="260"/>
      <c r="E13" s="14"/>
      <c r="F13" s="14"/>
      <c r="G13" s="14"/>
      <c r="H13" s="9"/>
      <c r="I13" s="9"/>
      <c r="J13" s="2"/>
      <c r="K13" s="10" t="str">
        <f>IF(M19=0,"Сметная стоимость в уровне цен на "&amp;F12&amp;"(руб) - ","Сметная стоимость в уровне цен на "&amp;F12&amp;" с  НДС = 0% (руб) - ")</f>
        <v xml:space="preserve">Сметная стоимость в уровне цен на 4кв. 2021г.(руб) - </v>
      </c>
      <c r="L13" s="11">
        <f>K108</f>
        <v>166200</v>
      </c>
      <c r="M13" s="32"/>
      <c r="N13" s="33"/>
      <c r="O13" s="34"/>
    </row>
    <row r="14" spans="1:16" s="1" customFormat="1" ht="14.1" customHeight="1">
      <c r="A14" s="260" t="s">
        <v>63</v>
      </c>
      <c r="B14" s="261"/>
      <c r="C14" s="261"/>
      <c r="D14" s="261"/>
      <c r="E14" s="261"/>
      <c r="F14" s="261"/>
      <c r="G14" s="261"/>
      <c r="H14" s="9"/>
      <c r="I14" s="15"/>
      <c r="J14" s="9"/>
      <c r="K14" s="16" t="str">
        <f>IF(M19=0,"Стоимость оборудования  - ","Стоимость оборудования с НДС = 0% (руб) - ")</f>
        <v xml:space="preserve">Стоимость оборудования  - </v>
      </c>
      <c r="L14" s="11">
        <f>K105</f>
        <v>95706.13</v>
      </c>
      <c r="M14" s="32"/>
      <c r="N14" s="33"/>
      <c r="O14" s="34"/>
    </row>
    <row r="15" spans="1:16" s="1" customFormat="1" ht="14.1" customHeight="1">
      <c r="A15" s="260" t="s">
        <v>39</v>
      </c>
      <c r="B15" s="261"/>
      <c r="C15" s="261"/>
      <c r="D15" s="261"/>
      <c r="E15" s="261"/>
      <c r="F15" s="261"/>
      <c r="G15" s="261"/>
      <c r="H15" s="9"/>
      <c r="I15" s="193"/>
      <c r="J15" s="9"/>
      <c r="K15" s="17" t="str">
        <f>IF(M19=0,"Стоимость  работ (руб) - ","Стоимость  работ с НДС = 0% (руб) - ")</f>
        <v xml:space="preserve">Стоимость  работ (руб) - </v>
      </c>
      <c r="L15" s="18">
        <f>K104</f>
        <v>70493.87</v>
      </c>
      <c r="M15" s="32"/>
      <c r="N15" s="33"/>
      <c r="O15" s="34"/>
    </row>
    <row r="16" spans="1:16" s="1" customFormat="1" ht="14.1" customHeight="1">
      <c r="A16" s="327" t="s">
        <v>49</v>
      </c>
      <c r="B16" s="328"/>
      <c r="C16" s="328"/>
      <c r="D16" s="328"/>
      <c r="E16" s="328"/>
      <c r="F16" s="328"/>
      <c r="G16" s="328"/>
      <c r="H16" s="9"/>
      <c r="I16" s="19"/>
      <c r="J16" s="9"/>
      <c r="K16" s="20" t="s">
        <v>9</v>
      </c>
      <c r="L16" s="21">
        <f>G85</f>
        <v>35557.81</v>
      </c>
      <c r="M16" s="32"/>
      <c r="N16" s="33"/>
      <c r="O16" s="34"/>
    </row>
    <row r="17" spans="1:17" s="1" customFormat="1" ht="14.1" customHeight="1">
      <c r="A17" s="329" t="s">
        <v>43</v>
      </c>
      <c r="B17" s="329"/>
      <c r="C17" s="329"/>
      <c r="D17" s="329"/>
      <c r="E17" s="329"/>
      <c r="F17" s="329"/>
      <c r="G17" s="329"/>
      <c r="H17" s="9"/>
      <c r="I17" s="22"/>
      <c r="J17" s="9"/>
      <c r="K17" s="16" t="s">
        <v>16</v>
      </c>
      <c r="L17" s="23">
        <f>L85</f>
        <v>638.23</v>
      </c>
      <c r="M17" s="32"/>
      <c r="N17" s="33"/>
      <c r="O17" s="34"/>
    </row>
    <row r="18" spans="1:17" s="1" customFormat="1" ht="14.1" hidden="1" customHeight="1">
      <c r="A18" s="24" t="str">
        <f>IF(L18=0,"Отсутствует","")</f>
        <v>Отсутствует</v>
      </c>
      <c r="B18" s="24"/>
      <c r="C18" s="24"/>
      <c r="D18" s="24"/>
      <c r="E18" s="24"/>
      <c r="F18" s="24"/>
      <c r="G18" s="24"/>
      <c r="H18" s="9"/>
      <c r="I18" s="160"/>
      <c r="J18" s="26"/>
      <c r="K18" s="27" t="s">
        <v>61</v>
      </c>
      <c r="L18" s="28">
        <v>0</v>
      </c>
      <c r="M18" s="32"/>
      <c r="N18" s="33"/>
      <c r="O18" s="34"/>
      <c r="P18" s="1">
        <f>IF(L18&gt;0,1,0)</f>
        <v>0</v>
      </c>
    </row>
    <row r="19" spans="1:17" s="1" customFormat="1" ht="14.1" hidden="1" customHeight="1">
      <c r="A19" s="24" t="str">
        <f>IF(L18=0,"Отсутствует","")</f>
        <v>Отсутствует</v>
      </c>
      <c r="B19" s="24"/>
      <c r="C19" s="24"/>
      <c r="D19" s="24"/>
      <c r="E19" s="24"/>
      <c r="F19" s="24"/>
      <c r="G19" s="24"/>
      <c r="H19" s="9"/>
      <c r="I19" s="160"/>
      <c r="J19" s="161"/>
      <c r="K19" s="162" t="str">
        <f>IF(M19=0," НДС не облагается     ", "в т.ч.  НДС (0%) -  ")</f>
        <v xml:space="preserve"> НДС не облагается     </v>
      </c>
      <c r="L19" s="163" t="str">
        <f>IF(M19=0,"",L18/(1+M19)*M19)</f>
        <v/>
      </c>
      <c r="M19" s="197">
        <v>0</v>
      </c>
      <c r="N19" s="33"/>
      <c r="O19" s="34"/>
      <c r="P19" s="1">
        <f>IF(L19&gt;0,1,0)</f>
        <v>1</v>
      </c>
    </row>
    <row r="20" spans="1:17" s="1" customFormat="1" ht="16.5" customHeight="1">
      <c r="A20" s="187"/>
      <c r="B20" s="187"/>
      <c r="C20" s="187"/>
      <c r="D20" s="187"/>
      <c r="E20" s="187"/>
      <c r="F20" s="187"/>
      <c r="G20" s="187"/>
      <c r="H20" s="9"/>
      <c r="I20" s="22"/>
      <c r="J20" s="9"/>
      <c r="K20" s="9"/>
      <c r="L20" s="10" t="s">
        <v>120</v>
      </c>
      <c r="M20" s="32"/>
      <c r="N20" s="33"/>
      <c r="O20" s="34"/>
    </row>
    <row r="21" spans="1:17" s="1" customFormat="1" ht="26.25" customHeight="1">
      <c r="A21" s="31" t="s">
        <v>60</v>
      </c>
      <c r="B21" s="262" t="s">
        <v>53</v>
      </c>
      <c r="C21" s="263"/>
      <c r="D21" s="164" t="s">
        <v>10</v>
      </c>
      <c r="E21" s="264" t="s">
        <v>42</v>
      </c>
      <c r="F21" s="265"/>
      <c r="G21" s="266" t="s">
        <v>70</v>
      </c>
      <c r="H21" s="267"/>
      <c r="I21" s="267"/>
      <c r="J21" s="267"/>
      <c r="K21" s="267"/>
      <c r="L21" s="268"/>
      <c r="M21" s="32"/>
      <c r="N21" s="33"/>
      <c r="O21" s="34"/>
      <c r="P21" s="30">
        <f ca="1">P22</f>
        <v>102.6</v>
      </c>
    </row>
    <row r="22" spans="1:17" s="1" customFormat="1" ht="27.75" customHeight="1">
      <c r="A22" s="35"/>
      <c r="B22" s="36" t="str">
        <f>IF(SUM($N$1:$N$1503)&gt;0,"k(d)","")</f>
        <v/>
      </c>
      <c r="C22" s="36" t="str">
        <f>IF(SUM($O$1:$O$1503)&gt;0,"k(h)","")</f>
        <v/>
      </c>
      <c r="D22" s="37" t="str">
        <f>IF(AND(SUM($N$1:$N$1503)&gt;0,SUM($O$1:$O$1503)&gt;0),"◄= k(d) -коэф. на демонтаж * k(h) - высотный коэф.",IF(AND(SUM($N$1:$N$1503)&gt;0,SUM($O$1:$O$1503)=0),"◄= k(d) -коэф. на демонтаж",IF(AND(SUM($N$1:$N$1503)=0,SUM($O$1:$O$1503)&gt;0),"◄= k(h) - высотный коэффициент","")))</f>
        <v/>
      </c>
      <c r="E22" s="269" t="s">
        <v>54</v>
      </c>
      <c r="F22" s="270"/>
      <c r="G22" s="165" t="s">
        <v>75</v>
      </c>
      <c r="H22" s="166" t="s">
        <v>64</v>
      </c>
      <c r="I22" s="38" t="s">
        <v>65</v>
      </c>
      <c r="J22" s="38" t="s">
        <v>67</v>
      </c>
      <c r="K22" s="39" t="s">
        <v>68</v>
      </c>
      <c r="L22" s="38" t="s">
        <v>73</v>
      </c>
      <c r="M22" s="32"/>
      <c r="N22" s="33"/>
      <c r="O22" s="34"/>
      <c r="P22" s="30">
        <f ca="1">P23</f>
        <v>102.6</v>
      </c>
    </row>
    <row r="23" spans="1:17" s="1" customFormat="1" ht="12.75" customHeight="1">
      <c r="A23" s="40">
        <v>1</v>
      </c>
      <c r="B23" s="323">
        <v>2</v>
      </c>
      <c r="C23" s="324"/>
      <c r="D23" s="40">
        <v>3</v>
      </c>
      <c r="E23" s="323">
        <v>4</v>
      </c>
      <c r="F23" s="324"/>
      <c r="G23" s="40">
        <v>5</v>
      </c>
      <c r="H23" s="40">
        <v>6</v>
      </c>
      <c r="I23" s="40">
        <v>7</v>
      </c>
      <c r="J23" s="40">
        <v>8</v>
      </c>
      <c r="K23" s="40">
        <v>9</v>
      </c>
      <c r="L23" s="40">
        <v>10</v>
      </c>
      <c r="M23" s="41"/>
      <c r="N23" s="41"/>
      <c r="O23" s="41"/>
      <c r="P23" s="30">
        <f ca="1">P24</f>
        <v>102.6</v>
      </c>
    </row>
    <row r="24" spans="1:17" s="1" customFormat="1" ht="24" customHeight="1">
      <c r="A24" s="325" t="s">
        <v>77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42"/>
      <c r="M24" s="41"/>
      <c r="N24" s="41"/>
      <c r="O24" s="41"/>
      <c r="P24" s="30">
        <f ca="1">IF(OFFSET(Q24,1,0)&gt;0,OFFSET(Q24,1,0),OFFSET(Q24,2,0))</f>
        <v>102.6</v>
      </c>
    </row>
    <row r="25" spans="1:17" s="1" customFormat="1" ht="13.5">
      <c r="A25" s="43">
        <v>1</v>
      </c>
      <c r="B25" s="250" t="s">
        <v>78</v>
      </c>
      <c r="C25" s="251"/>
      <c r="D25" s="44" t="s">
        <v>79</v>
      </c>
      <c r="E25" s="252" t="s">
        <v>80</v>
      </c>
      <c r="F25" s="253"/>
      <c r="G25" s="45">
        <v>130.53</v>
      </c>
      <c r="H25" s="46">
        <v>117.7</v>
      </c>
      <c r="I25" s="45">
        <v>0.31</v>
      </c>
      <c r="J25" s="45">
        <v>0</v>
      </c>
      <c r="K25" s="45">
        <v>12.52</v>
      </c>
      <c r="L25" s="45">
        <v>11.7</v>
      </c>
      <c r="M25" s="32">
        <f ca="1">IF(E26&gt;0,E26,OFFSET(E26,2,0))</f>
        <v>1</v>
      </c>
      <c r="N25" s="33"/>
      <c r="O25" s="34"/>
      <c r="P25" s="1">
        <f>P26</f>
        <v>1</v>
      </c>
      <c r="Q25" s="47">
        <f t="shared" ref="Q25:Q38" ca="1" si="0">IF(ISNUMBER(E26),E26+OFFSET(Q26,1,0),OFFSET(Q26,1,0))</f>
        <v>102.6</v>
      </c>
    </row>
    <row r="26" spans="1:17" s="1" customFormat="1" ht="14.25" customHeight="1">
      <c r="A26" s="48" t="str">
        <f>IF(B26&lt;&gt;0,"k =",IF(C26&lt;&gt;0,"k =",""))</f>
        <v/>
      </c>
      <c r="B26" s="49">
        <v>0</v>
      </c>
      <c r="C26" s="50">
        <v>0</v>
      </c>
      <c r="D26" s="51" t="str">
        <f>IF(AND(0&lt;B26,B26&lt;1,C26=0),"                    Демонтаж с коэффициентом  = "&amp;M26,IF(AND(B26=0,C26&lt;&gt;0),"                       с высотным коэффициентом  = "&amp;M26,IF(AND(0&lt;B26,B26&lt;1,C26&gt;1),"            Демонтаж на высоте с коэф. = "&amp;M26,IF(AND(1&lt;B26,C26=0),"     Монтаж и демонтаж с коэффициентом  = "&amp;M26,IF(AND(B26&gt;1,C26&lt;&gt;0),"    Монтаж и демонтаж на высоте с коэф. = "&amp;M26,"")))))</f>
        <v/>
      </c>
      <c r="E26" s="248">
        <v>1</v>
      </c>
      <c r="F26" s="249"/>
      <c r="G26" s="52">
        <f>H26+I26+K26</f>
        <v>130.53</v>
      </c>
      <c r="H26" s="53">
        <f>ROUND(IF(M26=0,H25*E26,H25*E26*M26),2)</f>
        <v>117.7</v>
      </c>
      <c r="I26" s="52">
        <f>ROUND(IF(M26=0,I25*E26,I25*E26*M26),2)</f>
        <v>0.31</v>
      </c>
      <c r="J26" s="52">
        <f>ROUND(IF(M26=0,J25*E26,J25*E26*M26),2)</f>
        <v>0</v>
      </c>
      <c r="K26" s="54">
        <f>ROUND(IF(AND(0&lt;B26,B26&lt;1),0,K25*E26),2)</f>
        <v>12.52</v>
      </c>
      <c r="L26" s="52">
        <f>ROUND(IF(M26=0,L25*E26,L25*E26*M26),2)</f>
        <v>11.7</v>
      </c>
      <c r="M26" s="55">
        <f>IF(B26*C26&lt;&gt;0, B26*C26,IF(B26+C26=0,0,IF(B26=0,C26,IF(C26=0,B26,))))</f>
        <v>0</v>
      </c>
      <c r="N26" s="56">
        <f>B26</f>
        <v>0</v>
      </c>
      <c r="O26" s="57">
        <f>C26</f>
        <v>0</v>
      </c>
      <c r="P26" s="1">
        <f>E26</f>
        <v>1</v>
      </c>
      <c r="Q26" s="47">
        <f t="shared" ca="1" si="0"/>
        <v>0</v>
      </c>
    </row>
    <row r="27" spans="1:17" s="1" customFormat="1" ht="24">
      <c r="A27" s="43">
        <v>2</v>
      </c>
      <c r="B27" s="250" t="s">
        <v>81</v>
      </c>
      <c r="C27" s="251"/>
      <c r="D27" s="44" t="s">
        <v>82</v>
      </c>
      <c r="E27" s="252" t="s">
        <v>80</v>
      </c>
      <c r="F27" s="253"/>
      <c r="G27" s="45">
        <v>19.21</v>
      </c>
      <c r="H27" s="46">
        <v>16.16</v>
      </c>
      <c r="I27" s="45">
        <v>0.31</v>
      </c>
      <c r="J27" s="45">
        <v>0</v>
      </c>
      <c r="K27" s="45">
        <v>2.74</v>
      </c>
      <c r="L27" s="45">
        <v>1.68</v>
      </c>
      <c r="M27" s="32">
        <f ca="1">IF(E28&gt;0,E28,OFFSET(E28,2,0))</f>
        <v>56</v>
      </c>
      <c r="N27" s="33"/>
      <c r="O27" s="34"/>
      <c r="P27" s="1">
        <f>P28</f>
        <v>56</v>
      </c>
      <c r="Q27" s="47">
        <f t="shared" ca="1" si="0"/>
        <v>101.6</v>
      </c>
    </row>
    <row r="28" spans="1:17" s="1" customFormat="1" ht="14.25" customHeight="1">
      <c r="A28" s="48" t="str">
        <f>IF(B28&lt;&gt;0,"k =",IF(C28&lt;&gt;0,"k =",""))</f>
        <v/>
      </c>
      <c r="B28" s="49">
        <v>0</v>
      </c>
      <c r="C28" s="50">
        <v>0</v>
      </c>
      <c r="D28" s="51" t="str">
        <f>IF(AND(0&lt;B28,B28&lt;1,C28=0),"                    Демонтаж с коэффициентом  = "&amp;M28,IF(AND(B28=0,C28&lt;&gt;0),"                       с высотным коэффициентом  = "&amp;M28,IF(AND(0&lt;B28,B28&lt;1,C28&gt;1),"            Демонтаж на высоте с коэф. = "&amp;M28,IF(AND(1&lt;B28,C28=0),"     Монтаж и демонтаж с коэффициентом  = "&amp;M28,IF(AND(B28&gt;1,C28&lt;&gt;0),"    Монтаж и демонтаж на высоте с коэф. = "&amp;M28,"")))))</f>
        <v/>
      </c>
      <c r="E28" s="248">
        <v>56</v>
      </c>
      <c r="F28" s="249"/>
      <c r="G28" s="52">
        <f>H28+I28+K28</f>
        <v>1075.76</v>
      </c>
      <c r="H28" s="53">
        <f>ROUND(IF(M28=0,H27*E28,H27*E28*M28),2)</f>
        <v>904.96</v>
      </c>
      <c r="I28" s="52">
        <f>ROUND(IF(M28=0,I27*E28,I27*E28*M28),2)</f>
        <v>17.36</v>
      </c>
      <c r="J28" s="52">
        <f>ROUND(IF(M28=0,J27*E28,J27*E28*M28),2)</f>
        <v>0</v>
      </c>
      <c r="K28" s="54">
        <f>ROUND(IF(AND(0&lt;B28,B28&lt;1),0,K27*E28),2)</f>
        <v>153.44</v>
      </c>
      <c r="L28" s="52">
        <f>ROUND(IF(M28=0,L27*E28,L27*E28*M28),2)</f>
        <v>94.08</v>
      </c>
      <c r="M28" s="55">
        <f>IF(B28*C28&lt;&gt;0, B28*C28,IF(B28+C28=0,0,IF(B28=0,C28,IF(C28=0,B28,))))</f>
        <v>0</v>
      </c>
      <c r="N28" s="56">
        <f>B28</f>
        <v>0</v>
      </c>
      <c r="O28" s="57">
        <f>C28</f>
        <v>0</v>
      </c>
      <c r="P28" s="1">
        <f>E28</f>
        <v>56</v>
      </c>
      <c r="Q28" s="47">
        <f t="shared" ca="1" si="0"/>
        <v>0</v>
      </c>
    </row>
    <row r="29" spans="1:17" s="1" customFormat="1" ht="13.5">
      <c r="A29" s="43">
        <v>3</v>
      </c>
      <c r="B29" s="250" t="s">
        <v>83</v>
      </c>
      <c r="C29" s="251"/>
      <c r="D29" s="44" t="s">
        <v>84</v>
      </c>
      <c r="E29" s="252" t="s">
        <v>80</v>
      </c>
      <c r="F29" s="253"/>
      <c r="G29" s="45">
        <v>9.6999999999999993</v>
      </c>
      <c r="H29" s="46">
        <v>9.07</v>
      </c>
      <c r="I29" s="45">
        <v>0</v>
      </c>
      <c r="J29" s="45">
        <v>0</v>
      </c>
      <c r="K29" s="45">
        <v>0.63</v>
      </c>
      <c r="L29" s="45">
        <v>1</v>
      </c>
      <c r="M29" s="32">
        <f ca="1">IF(E30&gt;0,E30,OFFSET(E30,2,0))</f>
        <v>8</v>
      </c>
      <c r="N29" s="33"/>
      <c r="O29" s="34"/>
      <c r="P29" s="1">
        <f>P30</f>
        <v>8</v>
      </c>
      <c r="Q29" s="47">
        <f t="shared" ca="1" si="0"/>
        <v>45.6</v>
      </c>
    </row>
    <row r="30" spans="1:17" s="1" customFormat="1" ht="14.25" customHeight="1">
      <c r="A30" s="48" t="str">
        <f>IF(B30&lt;&gt;0,"k =",IF(C30&lt;&gt;0,"k =",""))</f>
        <v/>
      </c>
      <c r="B30" s="49">
        <v>0</v>
      </c>
      <c r="C30" s="50">
        <v>0</v>
      </c>
      <c r="D30" s="51" t="str">
        <f>IF(AND(0&lt;B30,B30&lt;1,C30=0),"                    Демонтаж с коэффициентом  = "&amp;M30,IF(AND(B30=0,C30&lt;&gt;0),"                       с высотным коэффициентом  = "&amp;M30,IF(AND(0&lt;B30,B30&lt;1,C30&gt;1),"            Демонтаж на высоте с коэф. = "&amp;M30,IF(AND(1&lt;B30,C30=0),"     Монтаж и демонтаж с коэффициентом  = "&amp;M30,IF(AND(B30&gt;1,C30&lt;&gt;0),"    Монтаж и демонтаж на высоте с коэф. = "&amp;M30,"")))))</f>
        <v/>
      </c>
      <c r="E30" s="248">
        <v>8</v>
      </c>
      <c r="F30" s="249"/>
      <c r="G30" s="52">
        <f>H30+I30+K30</f>
        <v>77.600000000000009</v>
      </c>
      <c r="H30" s="53">
        <f>ROUND(IF(M30=0,H29*E30,H29*E30*M30),2)</f>
        <v>72.56</v>
      </c>
      <c r="I30" s="52">
        <f>ROUND(IF(M30=0,I29*E30,I29*E30*M30),2)</f>
        <v>0</v>
      </c>
      <c r="J30" s="52">
        <f>ROUND(IF(M30=0,J29*E30,J29*E30*M30),2)</f>
        <v>0</v>
      </c>
      <c r="K30" s="54">
        <f>ROUND(IF(AND(0&lt;B30,B30&lt;1),0,K29*E30),2)</f>
        <v>5.04</v>
      </c>
      <c r="L30" s="52">
        <f>ROUND(IF(M30=0,L29*E30,L29*E30*M30),2)</f>
        <v>8</v>
      </c>
      <c r="M30" s="55">
        <f>IF(B30*C30&lt;&gt;0, B30*C30,IF(B30+C30=0,0,IF(B30=0,C30,IF(C30=0,B30,))))</f>
        <v>0</v>
      </c>
      <c r="N30" s="56">
        <f>B30</f>
        <v>0</v>
      </c>
      <c r="O30" s="57">
        <f>C30</f>
        <v>0</v>
      </c>
      <c r="P30" s="1">
        <f>E30</f>
        <v>8</v>
      </c>
      <c r="Q30" s="47">
        <f t="shared" ca="1" si="0"/>
        <v>0</v>
      </c>
    </row>
    <row r="31" spans="1:17" s="1" customFormat="1" ht="13.5">
      <c r="A31" s="43">
        <v>4</v>
      </c>
      <c r="B31" s="250" t="s">
        <v>85</v>
      </c>
      <c r="C31" s="251"/>
      <c r="D31" s="44" t="s">
        <v>86</v>
      </c>
      <c r="E31" s="252" t="s">
        <v>80</v>
      </c>
      <c r="F31" s="253"/>
      <c r="G31" s="45">
        <v>21.32</v>
      </c>
      <c r="H31" s="46">
        <v>19.239999999999998</v>
      </c>
      <c r="I31" s="45">
        <v>0</v>
      </c>
      <c r="J31" s="45">
        <v>0</v>
      </c>
      <c r="K31" s="45">
        <v>2.08</v>
      </c>
      <c r="L31" s="45">
        <v>2</v>
      </c>
      <c r="M31" s="32">
        <f ca="1">IF(E32&gt;0,E32,OFFSET(E32,2,0))</f>
        <v>26</v>
      </c>
      <c r="N31" s="33"/>
      <c r="O31" s="34"/>
      <c r="P31" s="1">
        <f>P32</f>
        <v>26</v>
      </c>
      <c r="Q31" s="47">
        <f t="shared" ca="1" si="0"/>
        <v>37.6</v>
      </c>
    </row>
    <row r="32" spans="1:17" s="1" customFormat="1" ht="14.25" customHeight="1">
      <c r="A32" s="48" t="str">
        <f>IF(B32&lt;&gt;0,"k =",IF(C32&lt;&gt;0,"k =",""))</f>
        <v/>
      </c>
      <c r="B32" s="49">
        <v>0</v>
      </c>
      <c r="C32" s="50">
        <v>0</v>
      </c>
      <c r="D32" s="51" t="str">
        <f>IF(AND(0&lt;B32,B32&lt;1,C32=0),"                    Демонтаж с коэффициентом  = "&amp;M32,IF(AND(B32=0,C32&lt;&gt;0),"                       с высотным коэффициентом  = "&amp;M32,IF(AND(0&lt;B32,B32&lt;1,C32&gt;1),"            Демонтаж на высоте с коэф. = "&amp;M32,IF(AND(1&lt;B32,C32=0),"     Монтаж и демонтаж с коэффициентом  = "&amp;M32,IF(AND(B32&gt;1,C32&lt;&gt;0),"    Монтаж и демонтаж на высоте с коэф. = "&amp;M32,"")))))</f>
        <v/>
      </c>
      <c r="E32" s="248">
        <v>26</v>
      </c>
      <c r="F32" s="249"/>
      <c r="G32" s="52">
        <f>H32+I32+K32</f>
        <v>554.32000000000005</v>
      </c>
      <c r="H32" s="53">
        <f>ROUND(IF(M32=0,H31*E32,H31*E32*M32),2)</f>
        <v>500.24</v>
      </c>
      <c r="I32" s="52">
        <f>ROUND(IF(M32=0,I31*E32,I31*E32*M32),2)</f>
        <v>0</v>
      </c>
      <c r="J32" s="52">
        <f>ROUND(IF(M32=0,J31*E32,J31*E32*M32),2)</f>
        <v>0</v>
      </c>
      <c r="K32" s="54">
        <f>ROUND(IF(AND(0&lt;B32,B32&lt;1),0,K31*E32),2)</f>
        <v>54.08</v>
      </c>
      <c r="L32" s="52">
        <f>ROUND(IF(M32=0,L31*E32,L31*E32*M32),2)</f>
        <v>52</v>
      </c>
      <c r="M32" s="55">
        <f>IF(B32*C32&lt;&gt;0, B32*C32,IF(B32+C32=0,0,IF(B32=0,C32,IF(C32=0,B32,))))</f>
        <v>0</v>
      </c>
      <c r="N32" s="56">
        <f>B32</f>
        <v>0</v>
      </c>
      <c r="O32" s="57">
        <f>C32</f>
        <v>0</v>
      </c>
      <c r="P32" s="1">
        <f>E32</f>
        <v>26</v>
      </c>
      <c r="Q32" s="47">
        <f t="shared" ca="1" si="0"/>
        <v>0</v>
      </c>
    </row>
    <row r="33" spans="1:17" s="1" customFormat="1" ht="13.5">
      <c r="A33" s="43">
        <v>5</v>
      </c>
      <c r="B33" s="250" t="s">
        <v>87</v>
      </c>
      <c r="C33" s="251"/>
      <c r="D33" s="44" t="s">
        <v>88</v>
      </c>
      <c r="E33" s="252" t="s">
        <v>89</v>
      </c>
      <c r="F33" s="253"/>
      <c r="G33" s="45">
        <v>757.92</v>
      </c>
      <c r="H33" s="46">
        <v>172.31</v>
      </c>
      <c r="I33" s="45">
        <v>72.89</v>
      </c>
      <c r="J33" s="45">
        <v>8.15</v>
      </c>
      <c r="K33" s="45">
        <v>512.72</v>
      </c>
      <c r="L33" s="45">
        <v>20.2</v>
      </c>
      <c r="M33" s="32">
        <f ca="1">IF(E34&gt;0,E34,OFFSET(E34,2,0))</f>
        <v>7.1</v>
      </c>
      <c r="N33" s="33"/>
      <c r="O33" s="34"/>
      <c r="P33" s="1">
        <f>P34</f>
        <v>7.1</v>
      </c>
      <c r="Q33" s="47">
        <f t="shared" ca="1" si="0"/>
        <v>11.6</v>
      </c>
    </row>
    <row r="34" spans="1:17" s="1" customFormat="1" ht="14.25" customHeight="1">
      <c r="A34" s="48" t="str">
        <f>IF(B34&lt;&gt;0,"k =",IF(C34&lt;&gt;0,"k =",""))</f>
        <v/>
      </c>
      <c r="B34" s="49">
        <v>0</v>
      </c>
      <c r="C34" s="50">
        <v>0</v>
      </c>
      <c r="D34" s="51" t="str">
        <f>IF(AND(0&lt;B34,B34&lt;1,C34=0),"                    Демонтаж с коэффициентом  = "&amp;M34,IF(AND(B34=0,C34&lt;&gt;0),"                       с высотным коэффициентом  = "&amp;M34,IF(AND(0&lt;B34,B34&lt;1,C34&gt;1),"            Демонтаж на высоте с коэф. = "&amp;M34,IF(AND(1&lt;B34,C34=0),"     Монтаж и демонтаж с коэффициентом  = "&amp;M34,IF(AND(B34&gt;1,C34&lt;&gt;0),"    Монтаж и демонтаж на высоте с коэф. = "&amp;M34,"")))))</f>
        <v/>
      </c>
      <c r="E34" s="248">
        <v>7.1</v>
      </c>
      <c r="F34" s="249"/>
      <c r="G34" s="52">
        <f>H34+I34+K34</f>
        <v>5381.23</v>
      </c>
      <c r="H34" s="53">
        <f>ROUND(IF(M34=0,H33*E34,H33*E34*M34),2)</f>
        <v>1223.4000000000001</v>
      </c>
      <c r="I34" s="52">
        <f>ROUND(IF(M34=0,I33*E34,I33*E34*M34),2)</f>
        <v>517.52</v>
      </c>
      <c r="J34" s="52">
        <f>ROUND(IF(M34=0,J33*E34,J33*E34*M34),2)</f>
        <v>57.87</v>
      </c>
      <c r="K34" s="54">
        <f>ROUND(IF(AND(0&lt;B34,B34&lt;1),0,K33*E34),2)</f>
        <v>3640.31</v>
      </c>
      <c r="L34" s="52">
        <f>ROUND(IF(M34=0,L33*E34,L33*E34*M34),2)</f>
        <v>143.41999999999999</v>
      </c>
      <c r="M34" s="55">
        <f>IF(B34*C34&lt;&gt;0, B34*C34,IF(B34+C34=0,0,IF(B34=0,C34,IF(C34=0,B34,))))</f>
        <v>0</v>
      </c>
      <c r="N34" s="56">
        <f>B34</f>
        <v>0</v>
      </c>
      <c r="O34" s="57">
        <f>C34</f>
        <v>0</v>
      </c>
      <c r="P34" s="1">
        <f>E34</f>
        <v>7.1</v>
      </c>
      <c r="Q34" s="47">
        <f t="shared" ca="1" si="0"/>
        <v>0</v>
      </c>
    </row>
    <row r="35" spans="1:17" s="1" customFormat="1" ht="13.5">
      <c r="A35" s="43">
        <v>6</v>
      </c>
      <c r="B35" s="250" t="s">
        <v>90</v>
      </c>
      <c r="C35" s="251"/>
      <c r="D35" s="44" t="s">
        <v>91</v>
      </c>
      <c r="E35" s="252" t="s">
        <v>80</v>
      </c>
      <c r="F35" s="253"/>
      <c r="G35" s="45">
        <v>41.35</v>
      </c>
      <c r="H35" s="46">
        <v>36.76</v>
      </c>
      <c r="I35" s="45">
        <v>0.25</v>
      </c>
      <c r="J35" s="45">
        <v>0</v>
      </c>
      <c r="K35" s="45">
        <v>4.34</v>
      </c>
      <c r="L35" s="45">
        <v>3.6</v>
      </c>
      <c r="M35" s="32">
        <f ca="1">IF(E36&gt;0,E36,OFFSET(E36,2,0))</f>
        <v>1</v>
      </c>
      <c r="N35" s="33"/>
      <c r="O35" s="34"/>
      <c r="P35" s="1">
        <f>P36</f>
        <v>1</v>
      </c>
      <c r="Q35" s="47">
        <f t="shared" ca="1" si="0"/>
        <v>4.5</v>
      </c>
    </row>
    <row r="36" spans="1:17" s="1" customFormat="1" ht="14.25" customHeight="1">
      <c r="A36" s="48" t="str">
        <f>IF(B36&lt;&gt;0,"k =",IF(C36&lt;&gt;0,"k =",""))</f>
        <v/>
      </c>
      <c r="B36" s="49">
        <v>0</v>
      </c>
      <c r="C36" s="50">
        <v>0</v>
      </c>
      <c r="D36" s="51" t="str">
        <f>IF(AND(0&lt;B36,B36&lt;1,C36=0),"                    Демонтаж с коэффициентом  = "&amp;M36,IF(AND(B36=0,C36&lt;&gt;0),"                       с высотным коэффициентом  = "&amp;M36,IF(AND(0&lt;B36,B36&lt;1,C36&gt;1),"            Демонтаж на высоте с коэф. = "&amp;M36,IF(AND(1&lt;B36,C36=0),"     Монтаж и демонтаж с коэффициентом  = "&amp;M36,IF(AND(B36&gt;1,C36&lt;&gt;0),"    Монтаж и демонтаж на высоте с коэф. = "&amp;M36,"")))))</f>
        <v/>
      </c>
      <c r="E36" s="248">
        <v>1</v>
      </c>
      <c r="F36" s="249"/>
      <c r="G36" s="52">
        <f>H36+I36+K36</f>
        <v>41.349999999999994</v>
      </c>
      <c r="H36" s="53">
        <f>ROUND(IF(M36=0,H35*E36,H35*E36*M36),2)</f>
        <v>36.76</v>
      </c>
      <c r="I36" s="52">
        <f>ROUND(IF(M36=0,I35*E36,I35*E36*M36),2)</f>
        <v>0.25</v>
      </c>
      <c r="J36" s="52">
        <f>ROUND(IF(M36=0,J35*E36,J35*E36*M36),2)</f>
        <v>0</v>
      </c>
      <c r="K36" s="54">
        <f>ROUND(IF(AND(0&lt;B36,B36&lt;1),0,K35*E36),2)</f>
        <v>4.34</v>
      </c>
      <c r="L36" s="52">
        <f>ROUND(IF(M36=0,L35*E36,L35*E36*M36),2)</f>
        <v>3.6</v>
      </c>
      <c r="M36" s="55">
        <f>IF(B36*C36&lt;&gt;0, B36*C36,IF(B36+C36=0,0,IF(B36=0,C36,IF(C36=0,B36,))))</f>
        <v>0</v>
      </c>
      <c r="N36" s="56">
        <f>B36</f>
        <v>0</v>
      </c>
      <c r="O36" s="57">
        <f>C36</f>
        <v>0</v>
      </c>
      <c r="P36" s="1">
        <f>E36</f>
        <v>1</v>
      </c>
      <c r="Q36" s="47">
        <f ca="1">IF(ISNUMBER(E37),E37+OFFSET(Q37,1,0),OFFSET(Q37,1,0))</f>
        <v>0</v>
      </c>
    </row>
    <row r="37" spans="1:17" s="1" customFormat="1" ht="13.5">
      <c r="A37" s="43">
        <v>7</v>
      </c>
      <c r="B37" s="250" t="s">
        <v>92</v>
      </c>
      <c r="C37" s="251"/>
      <c r="D37" s="44" t="s">
        <v>93</v>
      </c>
      <c r="E37" s="252" t="s">
        <v>89</v>
      </c>
      <c r="F37" s="253"/>
      <c r="G37" s="45">
        <v>237.65</v>
      </c>
      <c r="H37" s="46">
        <v>154.91999999999999</v>
      </c>
      <c r="I37" s="45">
        <v>31.2</v>
      </c>
      <c r="J37" s="45">
        <v>0.14000000000000001</v>
      </c>
      <c r="K37" s="45">
        <v>51.53</v>
      </c>
      <c r="L37" s="45">
        <v>16.29</v>
      </c>
      <c r="M37" s="32">
        <f ca="1">IF(E38&gt;0,E38,OFFSET(E38,2,0))</f>
        <v>3.5</v>
      </c>
      <c r="N37" s="33"/>
      <c r="O37" s="34"/>
      <c r="P37" s="1">
        <f>P38</f>
        <v>3.5</v>
      </c>
      <c r="Q37" s="47">
        <f t="shared" ca="1" si="0"/>
        <v>3.5</v>
      </c>
    </row>
    <row r="38" spans="1:17" s="1" customFormat="1" ht="14.25" customHeight="1">
      <c r="A38" s="48" t="str">
        <f>IF(B38&lt;&gt;0,"k =",IF(C38&lt;&gt;0,"k =",""))</f>
        <v/>
      </c>
      <c r="B38" s="49">
        <v>0</v>
      </c>
      <c r="C38" s="50">
        <v>0</v>
      </c>
      <c r="D38" s="51" t="str">
        <f>IF(AND(0&lt;B38,B38&lt;1,C38=0),"                    Демонтаж с коэффициентом  = "&amp;M38,IF(AND(B38=0,C38&lt;&gt;0),"                       с высотным коэффициентом  = "&amp;M38,IF(AND(0&lt;B38,B38&lt;1,C38&gt;1),"            Демонтаж на высоте с коэф. = "&amp;M38,IF(AND(1&lt;B38,C38=0),"     Монтаж и демонтаж с коэффициентом  = "&amp;M38,IF(AND(B38&gt;1,C38&lt;&gt;0),"    Монтаж и демонтаж на высоте с коэф. = "&amp;M38,"")))))</f>
        <v/>
      </c>
      <c r="E38" s="248">
        <v>3.5</v>
      </c>
      <c r="F38" s="249"/>
      <c r="G38" s="52">
        <f>H38+I38+K38</f>
        <v>831.78000000000009</v>
      </c>
      <c r="H38" s="53">
        <f>ROUND(IF(M38=0,H37*E38,H37*E38*M38),2)</f>
        <v>542.22</v>
      </c>
      <c r="I38" s="52">
        <f>ROUND(IF(M38=0,I37*E38,I37*E38*M38),2)</f>
        <v>109.2</v>
      </c>
      <c r="J38" s="52">
        <f>ROUND(IF(M38=0,J37*E38,J37*E38*M38),2)</f>
        <v>0.49</v>
      </c>
      <c r="K38" s="54">
        <f>ROUND(IF(AND(0&lt;B38,B38&lt;1),0,K37*E38),2)</f>
        <v>180.36</v>
      </c>
      <c r="L38" s="52">
        <f>ROUND(IF(M38=0,L37*E38,L37*E38*M38),2)</f>
        <v>57.02</v>
      </c>
      <c r="M38" s="55">
        <f>IF(B38*C38&lt;&gt;0, B38*C38,IF(B38+C38=0,0,IF(B38=0,C38,IF(C38=0,B38,))))</f>
        <v>0</v>
      </c>
      <c r="N38" s="56">
        <f>B38</f>
        <v>0</v>
      </c>
      <c r="O38" s="57">
        <f>C38</f>
        <v>0</v>
      </c>
      <c r="P38" s="1">
        <f>E38</f>
        <v>3.5</v>
      </c>
      <c r="Q38" s="47">
        <f t="shared" ca="1" si="0"/>
        <v>0</v>
      </c>
    </row>
    <row r="39" spans="1:17" s="1" customFormat="1" ht="14.45" customHeight="1">
      <c r="A39" s="233" t="s">
        <v>58</v>
      </c>
      <c r="B39" s="235"/>
      <c r="C39" s="235"/>
      <c r="D39" s="235"/>
      <c r="E39" s="235"/>
      <c r="F39" s="234"/>
      <c r="G39" s="58">
        <f>H39+I39+K39</f>
        <v>8092.57</v>
      </c>
      <c r="H39" s="58">
        <f>H26+H28+H30+H32+H34+H36+H38</f>
        <v>3397.84</v>
      </c>
      <c r="I39" s="58">
        <f>I26+I28+I30+I32+I34+I36+I38</f>
        <v>644.64</v>
      </c>
      <c r="J39" s="58">
        <f>J26+J28+J30+J32+J34+J36+J38</f>
        <v>58.36</v>
      </c>
      <c r="K39" s="58">
        <f>K26+K28+K30+K32+K34+K36+K38</f>
        <v>4050.09</v>
      </c>
      <c r="L39" s="58">
        <f>L26+L28+L30+L32+L34+L36+L38</f>
        <v>369.82</v>
      </c>
      <c r="M39" s="32"/>
      <c r="N39" s="33"/>
      <c r="O39" s="34"/>
      <c r="P39" s="30">
        <f>P49</f>
        <v>58851.520000000004</v>
      </c>
    </row>
    <row r="40" spans="1:17" s="1" customFormat="1" ht="14.45" hidden="1" customHeight="1">
      <c r="A40" s="219" t="s">
        <v>55</v>
      </c>
      <c r="B40" s="220"/>
      <c r="C40" s="220"/>
      <c r="D40" s="220"/>
      <c r="E40" s="220"/>
      <c r="F40" s="59">
        <v>1</v>
      </c>
      <c r="G40" s="60">
        <f>ROUND(H40+I40+K40,2)</f>
        <v>8092.57</v>
      </c>
      <c r="H40" s="60">
        <f>H39*F40</f>
        <v>3397.84</v>
      </c>
      <c r="I40" s="60">
        <f>I39+J40-J39</f>
        <v>644.64</v>
      </c>
      <c r="J40" s="60">
        <f>J39*F40</f>
        <v>58.36</v>
      </c>
      <c r="K40" s="60">
        <f>K39</f>
        <v>4050.09</v>
      </c>
      <c r="L40" s="60">
        <f>L39*F40</f>
        <v>369.82</v>
      </c>
      <c r="M40" s="32"/>
      <c r="N40" s="33"/>
      <c r="O40" s="34"/>
      <c r="P40" s="1">
        <f>IF(AND(F40&gt;1,P39&gt;0),1,0)</f>
        <v>0</v>
      </c>
    </row>
    <row r="41" spans="1:17" s="1" customFormat="1" ht="14.45" customHeight="1">
      <c r="A41" s="242" t="s">
        <v>45</v>
      </c>
      <c r="B41" s="243"/>
      <c r="C41" s="243"/>
      <c r="D41" s="243"/>
      <c r="E41" s="243"/>
      <c r="F41" s="61">
        <v>1.2</v>
      </c>
      <c r="G41" s="62">
        <f>ROUND(H41+I41+K41,2)</f>
        <v>8783.81</v>
      </c>
      <c r="H41" s="63">
        <f>H40*F41</f>
        <v>4077.4079999999999</v>
      </c>
      <c r="I41" s="64">
        <f>I40+J41-J40</f>
        <v>656.31200000000001</v>
      </c>
      <c r="J41" s="63">
        <f>J40*F41</f>
        <v>70.031999999999996</v>
      </c>
      <c r="K41" s="63">
        <f>K40</f>
        <v>4050.09</v>
      </c>
      <c r="L41" s="63">
        <f>L40*F41</f>
        <v>443.78399999999999</v>
      </c>
      <c r="M41" s="32"/>
      <c r="N41" s="33"/>
      <c r="O41" s="34"/>
      <c r="P41" s="1">
        <f>IF(AND(F41&gt;1,P39&gt;0),1,0)</f>
        <v>1</v>
      </c>
    </row>
    <row r="42" spans="1:17" s="1" customFormat="1" ht="14.45" hidden="1" customHeight="1">
      <c r="A42" s="242" t="s">
        <v>44</v>
      </c>
      <c r="B42" s="243"/>
      <c r="C42" s="243"/>
      <c r="D42" s="243"/>
      <c r="E42" s="243"/>
      <c r="F42" s="61">
        <v>1</v>
      </c>
      <c r="G42" s="62">
        <f>ROUND(H42+I42+K42,2)</f>
        <v>8783.81</v>
      </c>
      <c r="H42" s="63">
        <f>H41*F42</f>
        <v>4077.4079999999999</v>
      </c>
      <c r="I42" s="64">
        <f>I41+J42-J41</f>
        <v>656.31200000000001</v>
      </c>
      <c r="J42" s="63">
        <f>J41*F42</f>
        <v>70.031999999999996</v>
      </c>
      <c r="K42" s="64">
        <f>K41</f>
        <v>4050.09</v>
      </c>
      <c r="L42" s="63">
        <f>L41*F42</f>
        <v>443.78399999999999</v>
      </c>
      <c r="M42" s="32"/>
      <c r="N42" s="33"/>
      <c r="O42" s="34"/>
      <c r="P42" s="1">
        <f>IF(AND(F42&gt;1,P39&gt;0),1,0)</f>
        <v>0</v>
      </c>
    </row>
    <row r="43" spans="1:17" s="1" customFormat="1" ht="14.45" hidden="1" customHeight="1">
      <c r="A43" s="65">
        <f>1+F43</f>
        <v>1</v>
      </c>
      <c r="B43" s="243" t="str">
        <f>"С учетом зимних условий работ = "&amp;G42&amp;" +"</f>
        <v>С учетом зимних условий работ = 8783,81 +</v>
      </c>
      <c r="C43" s="243"/>
      <c r="D43" s="243"/>
      <c r="E43" s="243"/>
      <c r="F43" s="66">
        <v>0</v>
      </c>
      <c r="G43" s="62">
        <f>ROUND(H43+I43+K43,2)</f>
        <v>8783.81</v>
      </c>
      <c r="H43" s="63">
        <f>H42*A43</f>
        <v>4077.4079999999999</v>
      </c>
      <c r="I43" s="63">
        <f>I42*A43</f>
        <v>656.31200000000001</v>
      </c>
      <c r="J43" s="63">
        <f>J42*A43</f>
        <v>70.031999999999996</v>
      </c>
      <c r="K43" s="63">
        <f>K42*A43</f>
        <v>4050.09</v>
      </c>
      <c r="L43" s="63">
        <f>ROUND(L42*A43,2)</f>
        <v>443.78</v>
      </c>
      <c r="M43" s="32"/>
      <c r="N43" s="33"/>
      <c r="O43" s="34"/>
      <c r="P43" s="1">
        <f>IF(AND(A43&gt;1,P39&gt;0),1,0)</f>
        <v>0</v>
      </c>
    </row>
    <row r="44" spans="1:17" s="1" customFormat="1" ht="14.25" customHeight="1">
      <c r="A44" s="317" t="str">
        <f>"Пересчет в текущие цены на "&amp;E45&amp;" (ОЗП*"&amp;H45&amp;"; ЗПМ*"&amp;J45&amp;"; ЭМ*"&amp;I45&amp;"; МАТ*"&amp;K45&amp;")"</f>
        <v>Пересчет в текущие цены на 4кв. 2021г. (ОЗП*6,7; ЗПМ*6,7; ЭМ*6,7; МАТ*6,7)</v>
      </c>
      <c r="B44" s="318"/>
      <c r="C44" s="318"/>
      <c r="D44" s="318"/>
      <c r="E44" s="318"/>
      <c r="F44" s="319"/>
      <c r="G44" s="64">
        <f>H44+I44+K44</f>
        <v>58851.520000000004</v>
      </c>
      <c r="H44" s="64">
        <f>ROUND(H43*H45,2)</f>
        <v>27318.63</v>
      </c>
      <c r="I44" s="64">
        <f>ROUND(I43*I45,2)</f>
        <v>4397.29</v>
      </c>
      <c r="J44" s="64">
        <f>ROUND(J43*J45,2)</f>
        <v>469.21</v>
      </c>
      <c r="K44" s="64">
        <f>ROUND(K43*K45,2)</f>
        <v>27135.599999999999</v>
      </c>
      <c r="L44" s="64">
        <f>L43</f>
        <v>443.78</v>
      </c>
      <c r="M44" s="32"/>
      <c r="N44" s="33"/>
      <c r="O44" s="34"/>
      <c r="P44" s="30">
        <f>P49</f>
        <v>58851.520000000004</v>
      </c>
    </row>
    <row r="45" spans="1:17" s="1" customFormat="1" ht="12.75" hidden="1" customHeight="1">
      <c r="A45" s="320" t="s">
        <v>47</v>
      </c>
      <c r="B45" s="321"/>
      <c r="C45" s="321"/>
      <c r="D45" s="321"/>
      <c r="E45" s="322" t="str">
        <f>TRUNC((RIGHT(LEFT("01.10.2021",5),2)-1)/3,0)+1&amp;"кв. "&amp;RIGHT("01.10.2021",4)&amp;"г."</f>
        <v>4кв. 2021г.</v>
      </c>
      <c r="F45" s="322"/>
      <c r="G45" s="67" t="s">
        <v>34</v>
      </c>
      <c r="H45" s="68">
        <v>6.7</v>
      </c>
      <c r="I45" s="68">
        <v>6.7</v>
      </c>
      <c r="J45" s="68">
        <v>6.7</v>
      </c>
      <c r="K45" s="68">
        <v>6.7</v>
      </c>
      <c r="L45" s="167"/>
      <c r="M45" s="32"/>
      <c r="N45" s="33"/>
      <c r="O45" s="34"/>
      <c r="P45" s="1">
        <f>IF(P49&gt;0,1,0)</f>
        <v>1</v>
      </c>
    </row>
    <row r="46" spans="1:17" s="33" customFormat="1" ht="14.45" customHeight="1">
      <c r="A46" s="242" t="s">
        <v>62</v>
      </c>
      <c r="B46" s="243"/>
      <c r="C46" s="243"/>
      <c r="D46" s="243"/>
      <c r="E46" s="243"/>
      <c r="F46" s="244"/>
      <c r="G46" s="64">
        <f>ROUND(H44+J44,2)</f>
        <v>27787.84</v>
      </c>
      <c r="L46" s="69"/>
      <c r="M46" s="32"/>
      <c r="O46" s="34"/>
      <c r="P46" s="70">
        <f>P49</f>
        <v>58851.520000000004</v>
      </c>
    </row>
    <row r="47" spans="1:17" s="1" customFormat="1" ht="14.45" customHeight="1">
      <c r="A47" s="242" t="str">
        <f>"Накладные расходы (НР) на ФОТ  = "&amp;G46&amp;" х"</f>
        <v>Накладные расходы (НР) на ФОТ  = 27787,84 х</v>
      </c>
      <c r="B47" s="243"/>
      <c r="C47" s="243"/>
      <c r="D47" s="243"/>
      <c r="E47" s="243"/>
      <c r="F47" s="71">
        <v>0</v>
      </c>
      <c r="G47" s="58">
        <f>ROUND(F47*G46,2)</f>
        <v>0</v>
      </c>
      <c r="H47" s="168">
        <f>IF(I47=0%,F47/0.7,F47/0.94)</f>
        <v>0</v>
      </c>
      <c r="I47" s="198">
        <v>0</v>
      </c>
      <c r="J47" s="2"/>
      <c r="K47" s="2"/>
      <c r="L47" s="72" t="s">
        <v>46</v>
      </c>
      <c r="M47" s="32"/>
      <c r="N47" s="33"/>
      <c r="O47" s="34"/>
      <c r="P47" s="30">
        <f>P49</f>
        <v>58851.520000000004</v>
      </c>
    </row>
    <row r="48" spans="1:17" s="1" customFormat="1" ht="14.45" customHeight="1">
      <c r="A48" s="242" t="str">
        <f>"Сметная прибыль (СП) на ФОТ = "&amp;G46&amp;" х"</f>
        <v>Сметная прибыль (СП) на ФОТ = 27787,84 х</v>
      </c>
      <c r="B48" s="245"/>
      <c r="C48" s="245"/>
      <c r="D48" s="245"/>
      <c r="E48" s="245"/>
      <c r="F48" s="71">
        <v>0</v>
      </c>
      <c r="G48" s="58">
        <f>ROUND(G46*F48,2)</f>
        <v>0</v>
      </c>
      <c r="H48" s="73">
        <f>IF(I47=0%,F48/0.9,0)</f>
        <v>0</v>
      </c>
      <c r="I48" s="74"/>
      <c r="J48" s="75"/>
      <c r="K48" s="75"/>
      <c r="L48" s="76"/>
      <c r="M48" s="12"/>
      <c r="N48" s="9"/>
      <c r="O48" s="13"/>
      <c r="P48" s="30">
        <f>P49</f>
        <v>58851.520000000004</v>
      </c>
    </row>
    <row r="49" spans="1:17" s="1" customFormat="1" ht="18.75" customHeight="1" thickBot="1">
      <c r="A49" s="246" t="str">
        <f>"Итого по разделу = ПЗ + НР+ СП = "&amp;G44&amp;" + "&amp;G47&amp;" + "&amp;G48&amp;" = "</f>
        <v xml:space="preserve">Итого по разделу = ПЗ + НР+ СП = 58851,52 + 0 + 0 = </v>
      </c>
      <c r="B49" s="246"/>
      <c r="C49" s="246"/>
      <c r="D49" s="246"/>
      <c r="E49" s="246"/>
      <c r="F49" s="247"/>
      <c r="G49" s="77">
        <f>G44+G47+G48</f>
        <v>58851.520000000004</v>
      </c>
      <c r="H49" s="78"/>
      <c r="I49" s="315"/>
      <c r="J49" s="316"/>
      <c r="K49" s="316"/>
      <c r="L49" s="79"/>
      <c r="M49" s="32"/>
      <c r="N49" s="33"/>
      <c r="O49" s="34"/>
      <c r="P49" s="30">
        <f>G49</f>
        <v>58851.520000000004</v>
      </c>
    </row>
    <row r="50" spans="1:17" s="1" customFormat="1" ht="8.25" customHeight="1">
      <c r="A50" s="169"/>
      <c r="B50" s="169"/>
      <c r="C50" s="169"/>
      <c r="D50" s="169"/>
      <c r="E50" s="79"/>
      <c r="F50" s="79"/>
      <c r="G50" s="79"/>
      <c r="H50" s="170"/>
      <c r="I50" s="170"/>
      <c r="J50" s="79"/>
      <c r="K50" s="79"/>
      <c r="L50" s="79"/>
      <c r="M50" s="32"/>
      <c r="N50" s="33"/>
      <c r="O50" s="34"/>
    </row>
    <row r="51" spans="1:17" s="1" customFormat="1" ht="26.25" customHeight="1">
      <c r="A51" s="31" t="s">
        <v>60</v>
      </c>
      <c r="B51" s="262" t="s">
        <v>53</v>
      </c>
      <c r="C51" s="263"/>
      <c r="D51" s="164" t="s">
        <v>10</v>
      </c>
      <c r="E51" s="264" t="s">
        <v>42</v>
      </c>
      <c r="F51" s="265"/>
      <c r="G51" s="266" t="s">
        <v>70</v>
      </c>
      <c r="H51" s="267"/>
      <c r="I51" s="267"/>
      <c r="J51" s="267"/>
      <c r="K51" s="267"/>
      <c r="L51" s="268"/>
      <c r="M51" s="32"/>
      <c r="N51" s="33"/>
      <c r="O51" s="34"/>
      <c r="P51" s="30">
        <f ca="1">P52</f>
        <v>51</v>
      </c>
    </row>
    <row r="52" spans="1:17" s="1" customFormat="1" ht="27.75" customHeight="1">
      <c r="A52" s="35"/>
      <c r="B52" s="36" t="str">
        <f>IF(SUM($N$1:$N$1503)&gt;0,"k(d)","")</f>
        <v/>
      </c>
      <c r="C52" s="36" t="str">
        <f>IF(SUM($O$1:$O$1503)&gt;0,"k(h)","")</f>
        <v/>
      </c>
      <c r="D52" s="37" t="str">
        <f>IF(AND(SUM($N$1:$N$1503)&gt;0,SUM($O$1:$O$1503)&gt;0),"◄= k(d) -коэф. на демонтаж * k(h) - высотный коэф.",IF(AND(SUM($N$1:$N$1503)&gt;0,SUM($O$1:$O$1503)=0),"◄= k(d) -коэф. на демонтаж",IF(AND(SUM($N$1:$N$1503)=0,SUM($O$1:$O$1503)&gt;0),"◄= k(h) - высотный коэффициент","")))</f>
        <v/>
      </c>
      <c r="E52" s="269" t="s">
        <v>54</v>
      </c>
      <c r="F52" s="270"/>
      <c r="G52" s="165" t="s">
        <v>75</v>
      </c>
      <c r="H52" s="166" t="s">
        <v>64</v>
      </c>
      <c r="I52" s="38" t="s">
        <v>65</v>
      </c>
      <c r="J52" s="38" t="s">
        <v>67</v>
      </c>
      <c r="K52" s="39" t="s">
        <v>68</v>
      </c>
      <c r="L52" s="38" t="s">
        <v>73</v>
      </c>
      <c r="M52" s="32"/>
      <c r="N52" s="33"/>
      <c r="O52" s="34"/>
      <c r="P52" s="30">
        <f ca="1">P53</f>
        <v>51</v>
      </c>
    </row>
    <row r="53" spans="1:17" s="1" customFormat="1" ht="12.75" customHeight="1">
      <c r="A53" s="40">
        <v>1</v>
      </c>
      <c r="B53" s="323">
        <v>2</v>
      </c>
      <c r="C53" s="324"/>
      <c r="D53" s="40">
        <v>3</v>
      </c>
      <c r="E53" s="323">
        <v>4</v>
      </c>
      <c r="F53" s="324"/>
      <c r="G53" s="40">
        <v>5</v>
      </c>
      <c r="H53" s="40">
        <v>6</v>
      </c>
      <c r="I53" s="40">
        <v>7</v>
      </c>
      <c r="J53" s="40">
        <v>8</v>
      </c>
      <c r="K53" s="40">
        <v>9</v>
      </c>
      <c r="L53" s="40">
        <v>10</v>
      </c>
      <c r="M53" s="41"/>
      <c r="N53" s="41"/>
      <c r="O53" s="41"/>
      <c r="P53" s="30">
        <f ca="1">P54</f>
        <v>51</v>
      </c>
    </row>
    <row r="54" spans="1:17" s="1" customFormat="1" ht="24" customHeight="1">
      <c r="A54" s="325" t="s">
        <v>94</v>
      </c>
      <c r="B54" s="326"/>
      <c r="C54" s="326"/>
      <c r="D54" s="326"/>
      <c r="E54" s="326"/>
      <c r="F54" s="326"/>
      <c r="G54" s="326"/>
      <c r="H54" s="326"/>
      <c r="I54" s="326"/>
      <c r="J54" s="326"/>
      <c r="K54" s="326"/>
      <c r="L54" s="42"/>
      <c r="M54" s="41"/>
      <c r="N54" s="41"/>
      <c r="O54" s="41"/>
      <c r="P54" s="30">
        <f ca="1">IF(OFFSET(Q54,1,0)&gt;0,OFFSET(Q54,1,0),OFFSET(Q54,2,0))</f>
        <v>51</v>
      </c>
    </row>
    <row r="55" spans="1:17" s="1" customFormat="1" ht="13.5">
      <c r="A55" s="43">
        <v>1</v>
      </c>
      <c r="B55" s="250" t="s">
        <v>95</v>
      </c>
      <c r="C55" s="251"/>
      <c r="D55" s="44" t="s">
        <v>96</v>
      </c>
      <c r="E55" s="252" t="s">
        <v>80</v>
      </c>
      <c r="F55" s="253"/>
      <c r="G55" s="45">
        <v>5.54</v>
      </c>
      <c r="H55" s="46">
        <v>3.37</v>
      </c>
      <c r="I55" s="45">
        <v>0.97</v>
      </c>
      <c r="J55" s="45">
        <v>0</v>
      </c>
      <c r="K55" s="45">
        <v>1.2</v>
      </c>
      <c r="L55" s="45">
        <v>0.35</v>
      </c>
      <c r="M55" s="32">
        <f ca="1">IF(E56&gt;0,E56,OFFSET(E56,2,0))</f>
        <v>51</v>
      </c>
      <c r="N55" s="33"/>
      <c r="O55" s="34"/>
      <c r="P55" s="1">
        <f>P56</f>
        <v>51</v>
      </c>
      <c r="Q55" s="47">
        <f ca="1">IF(ISNUMBER(E56),E56+OFFSET(Q56,1,0),OFFSET(Q56,1,0))</f>
        <v>51</v>
      </c>
    </row>
    <row r="56" spans="1:17" s="1" customFormat="1" ht="14.25" customHeight="1">
      <c r="A56" s="48" t="str">
        <f>IF(B56&lt;&gt;0,"k =",IF(C56&lt;&gt;0,"k =",""))</f>
        <v/>
      </c>
      <c r="B56" s="49">
        <v>0</v>
      </c>
      <c r="C56" s="50">
        <v>0</v>
      </c>
      <c r="D56" s="51" t="str">
        <f>IF(AND(0&lt;B56,B56&lt;1,C56=0),"                    Демонтаж с коэффициентом  = "&amp;M56,IF(AND(B56=0,C56&lt;&gt;0),"                       с высотным коэффициентом  = "&amp;M56,IF(AND(0&lt;B56,B56&lt;1,C56&gt;1),"            Демонтаж на высоте с коэф. = "&amp;M56,IF(AND(1&lt;B56,C56=0),"     Монтаж и демонтаж с коэффициентом  = "&amp;M56,IF(AND(B56&gt;1,C56&lt;&gt;0),"    Монтаж и демонтаж на высоте с коэф. = "&amp;M56,"")))))</f>
        <v/>
      </c>
      <c r="E56" s="248">
        <v>51</v>
      </c>
      <c r="F56" s="249"/>
      <c r="G56" s="52">
        <f>H56+I56+K56</f>
        <v>282.54000000000002</v>
      </c>
      <c r="H56" s="53">
        <f>ROUND(IF(M56=0,H55*E56,H55*E56*M56),2)</f>
        <v>171.87</v>
      </c>
      <c r="I56" s="52">
        <f>ROUND(IF(M56=0,I55*E56,I55*E56*M56),2)</f>
        <v>49.47</v>
      </c>
      <c r="J56" s="52">
        <f>ROUND(IF(M56=0,J55*E56,J55*E56*M56),2)</f>
        <v>0</v>
      </c>
      <c r="K56" s="54">
        <f>ROUND(IF(AND(0&lt;B56,B56&lt;1),0,K55*E56),2)</f>
        <v>61.2</v>
      </c>
      <c r="L56" s="52">
        <f>ROUND(IF(M56=0,L55*E56,L55*E56*M56),2)</f>
        <v>17.850000000000001</v>
      </c>
      <c r="M56" s="55">
        <f>IF(B56*C56&lt;&gt;0, B56*C56,IF(B56+C56=0,0,IF(B56=0,C56,IF(C56=0,B56,))))</f>
        <v>0</v>
      </c>
      <c r="N56" s="56">
        <f>B56</f>
        <v>0</v>
      </c>
      <c r="O56" s="57">
        <f>C56</f>
        <v>0</v>
      </c>
      <c r="P56" s="1">
        <f>E56</f>
        <v>51</v>
      </c>
      <c r="Q56" s="47">
        <f ca="1">IF(ISNUMBER(E57),E57+OFFSET(Q57,1,0),OFFSET(Q57,1,0))</f>
        <v>0</v>
      </c>
    </row>
    <row r="57" spans="1:17" s="1" customFormat="1" ht="14.45" customHeight="1">
      <c r="A57" s="233" t="s">
        <v>58</v>
      </c>
      <c r="B57" s="235"/>
      <c r="C57" s="235"/>
      <c r="D57" s="235"/>
      <c r="E57" s="235"/>
      <c r="F57" s="234"/>
      <c r="G57" s="58">
        <f>H57+I57+K57</f>
        <v>282.54000000000002</v>
      </c>
      <c r="H57" s="58">
        <f>H56</f>
        <v>171.87</v>
      </c>
      <c r="I57" s="58">
        <f t="shared" ref="I57:L57" si="1">I56</f>
        <v>49.47</v>
      </c>
      <c r="J57" s="58">
        <f t="shared" si="1"/>
        <v>0</v>
      </c>
      <c r="K57" s="58">
        <f t="shared" si="1"/>
        <v>61.2</v>
      </c>
      <c r="L57" s="58">
        <f t="shared" si="1"/>
        <v>17.850000000000001</v>
      </c>
      <c r="M57" s="32"/>
      <c r="N57" s="33"/>
      <c r="O57" s="34"/>
      <c r="P57" s="30">
        <f>P67</f>
        <v>3153.45</v>
      </c>
    </row>
    <row r="58" spans="1:17" s="1" customFormat="1" ht="14.45" hidden="1" customHeight="1">
      <c r="A58" s="219" t="s">
        <v>55</v>
      </c>
      <c r="B58" s="220"/>
      <c r="C58" s="220"/>
      <c r="D58" s="220"/>
      <c r="E58" s="220"/>
      <c r="F58" s="59">
        <v>1</v>
      </c>
      <c r="G58" s="60">
        <f>ROUND(H58+I58+K58,2)</f>
        <v>282.54000000000002</v>
      </c>
      <c r="H58" s="60">
        <f>H57*F58</f>
        <v>171.87</v>
      </c>
      <c r="I58" s="60">
        <f>I57+J58-J57</f>
        <v>49.47</v>
      </c>
      <c r="J58" s="60">
        <f>J57*F58</f>
        <v>0</v>
      </c>
      <c r="K58" s="60">
        <f>K57</f>
        <v>61.2</v>
      </c>
      <c r="L58" s="60">
        <f>L57*F58</f>
        <v>17.850000000000001</v>
      </c>
      <c r="M58" s="32"/>
      <c r="N58" s="33"/>
      <c r="O58" s="34"/>
      <c r="P58" s="1">
        <f>IF(AND(F58&gt;1,P57&gt;0),1,0)</f>
        <v>0</v>
      </c>
    </row>
    <row r="59" spans="1:17" s="1" customFormat="1" ht="14.45" hidden="1" customHeight="1">
      <c r="A59" s="242" t="s">
        <v>45</v>
      </c>
      <c r="B59" s="243"/>
      <c r="C59" s="243"/>
      <c r="D59" s="243"/>
      <c r="E59" s="243"/>
      <c r="F59" s="61">
        <v>1.1499999999999999</v>
      </c>
      <c r="G59" s="62">
        <f>ROUND(H59+I59+K59,2)</f>
        <v>308.32</v>
      </c>
      <c r="H59" s="63">
        <f>H58*F59</f>
        <v>197.65049999999999</v>
      </c>
      <c r="I59" s="64">
        <f>I58+J59-J58</f>
        <v>49.47</v>
      </c>
      <c r="J59" s="63">
        <f>J58*F59</f>
        <v>0</v>
      </c>
      <c r="K59" s="63">
        <f>K58</f>
        <v>61.2</v>
      </c>
      <c r="L59" s="63">
        <f>L58*F59</f>
        <v>20.5275</v>
      </c>
      <c r="M59" s="32"/>
      <c r="N59" s="33"/>
      <c r="O59" s="34"/>
      <c r="P59" s="1">
        <f>IF(AND(F59&gt;1,P57&gt;0),1,0)</f>
        <v>1</v>
      </c>
    </row>
    <row r="60" spans="1:17" s="1" customFormat="1" ht="14.45" hidden="1" customHeight="1">
      <c r="A60" s="242" t="s">
        <v>44</v>
      </c>
      <c r="B60" s="243"/>
      <c r="C60" s="243"/>
      <c r="D60" s="243"/>
      <c r="E60" s="243"/>
      <c r="F60" s="61">
        <v>1.25</v>
      </c>
      <c r="G60" s="62">
        <f>ROUND(H60+I60+K60,2)</f>
        <v>357.73</v>
      </c>
      <c r="H60" s="63">
        <f>H59*F60</f>
        <v>247.06312499999999</v>
      </c>
      <c r="I60" s="64">
        <f>I59+J60-J59</f>
        <v>49.47</v>
      </c>
      <c r="J60" s="63">
        <f>J59*F60</f>
        <v>0</v>
      </c>
      <c r="K60" s="64">
        <f>K59</f>
        <v>61.2</v>
      </c>
      <c r="L60" s="63">
        <f>L59*F60</f>
        <v>25.659375000000001</v>
      </c>
      <c r="M60" s="32"/>
      <c r="N60" s="33"/>
      <c r="O60" s="34"/>
      <c r="P60" s="1">
        <f>IF(AND(F60&gt;1,P57&gt;0),1,0)</f>
        <v>1</v>
      </c>
    </row>
    <row r="61" spans="1:17" s="1" customFormat="1" ht="14.45" hidden="1" customHeight="1">
      <c r="A61" s="65">
        <f>1+F61</f>
        <v>1.0308999999999999</v>
      </c>
      <c r="B61" s="243" t="str">
        <f>"С учетом зимних условий работ = "&amp;G60&amp;" +"</f>
        <v>С учетом зимних условий работ = 357,73 +</v>
      </c>
      <c r="C61" s="243"/>
      <c r="D61" s="243"/>
      <c r="E61" s="243"/>
      <c r="F61" s="66">
        <v>3.09E-2</v>
      </c>
      <c r="G61" s="62">
        <f>ROUND(H61+I61+K61,2)</f>
        <v>368.79</v>
      </c>
      <c r="H61" s="63">
        <f>H60*A61</f>
        <v>254.69737556249996</v>
      </c>
      <c r="I61" s="63">
        <f>I60*A61</f>
        <v>50.998622999999995</v>
      </c>
      <c r="J61" s="63">
        <f>J60*A61</f>
        <v>0</v>
      </c>
      <c r="K61" s="63">
        <f>K60*A61</f>
        <v>63.091079999999998</v>
      </c>
      <c r="L61" s="63">
        <f>ROUND(L60*A61,2)</f>
        <v>26.45</v>
      </c>
      <c r="M61" s="32"/>
      <c r="N61" s="33"/>
      <c r="O61" s="34"/>
      <c r="P61" s="1">
        <f>IF(AND(A61&gt;1,P57&gt;0),1,0)</f>
        <v>1</v>
      </c>
    </row>
    <row r="62" spans="1:17" s="1" customFormat="1" ht="14.25" customHeight="1">
      <c r="A62" s="317" t="str">
        <f>"Пересчет в текущие цены на "&amp;E63&amp;" (ОЗП*"&amp;H63&amp;"; ЗПМ*"&amp;J63&amp;"; ЭМ*"&amp;I63&amp;"; МАТ*"&amp;K63&amp;")"</f>
        <v>Пересчет в текущие цены на 4кв. 2021г. (ОЗП*6,7; ЗПМ*6,7; ЭМ*6,7; МАТ*6,7)</v>
      </c>
      <c r="B62" s="318"/>
      <c r="C62" s="318"/>
      <c r="D62" s="318"/>
      <c r="E62" s="318"/>
      <c r="F62" s="319"/>
      <c r="G62" s="64">
        <f>H62+I62+K62</f>
        <v>2470.87</v>
      </c>
      <c r="H62" s="64">
        <f>ROUND(H61*H63,2)</f>
        <v>1706.47</v>
      </c>
      <c r="I62" s="64">
        <f>ROUND(I61*I63,2)</f>
        <v>341.69</v>
      </c>
      <c r="J62" s="64">
        <f>ROUND(J61*J63,2)</f>
        <v>0</v>
      </c>
      <c r="K62" s="64">
        <f>ROUND(K61*K63,2)</f>
        <v>422.71</v>
      </c>
      <c r="L62" s="64">
        <f>L61</f>
        <v>26.45</v>
      </c>
      <c r="M62" s="32"/>
      <c r="N62" s="33"/>
      <c r="O62" s="34"/>
      <c r="P62" s="30">
        <f>P67</f>
        <v>3153.45</v>
      </c>
    </row>
    <row r="63" spans="1:17" s="1" customFormat="1" ht="12.75" hidden="1" customHeight="1">
      <c r="A63" s="320" t="s">
        <v>47</v>
      </c>
      <c r="B63" s="321"/>
      <c r="C63" s="321"/>
      <c r="D63" s="321"/>
      <c r="E63" s="322" t="str">
        <f>TRUNC((RIGHT(LEFT("01.10.2021",5),2)-1)/3,0)+1&amp;"кв. "&amp;RIGHT("01.10.2021",4)&amp;"г."</f>
        <v>4кв. 2021г.</v>
      </c>
      <c r="F63" s="322"/>
      <c r="G63" s="67" t="s">
        <v>34</v>
      </c>
      <c r="H63" s="68">
        <v>6.7</v>
      </c>
      <c r="I63" s="68">
        <v>6.7</v>
      </c>
      <c r="J63" s="68">
        <v>6.7</v>
      </c>
      <c r="K63" s="68">
        <v>6.7</v>
      </c>
      <c r="L63" s="167"/>
      <c r="M63" s="32"/>
      <c r="N63" s="33"/>
      <c r="O63" s="34"/>
      <c r="P63" s="1">
        <f>IF(P67&gt;0,1,0)</f>
        <v>1</v>
      </c>
    </row>
    <row r="64" spans="1:17" s="33" customFormat="1" ht="14.45" customHeight="1">
      <c r="A64" s="242" t="s">
        <v>62</v>
      </c>
      <c r="B64" s="243"/>
      <c r="C64" s="243"/>
      <c r="D64" s="243"/>
      <c r="E64" s="243"/>
      <c r="F64" s="244"/>
      <c r="G64" s="64">
        <f>ROUND(H62+J62,2)</f>
        <v>1706.47</v>
      </c>
      <c r="L64" s="69"/>
      <c r="M64" s="32"/>
      <c r="O64" s="34"/>
      <c r="P64" s="70">
        <f>P67</f>
        <v>3153.45</v>
      </c>
    </row>
    <row r="65" spans="1:19" s="1" customFormat="1" ht="14.45" customHeight="1">
      <c r="A65" s="242" t="str">
        <f>"Накладные расходы (НР) на ФОТ  = "&amp;G64&amp;" х"</f>
        <v>Накладные расходы (НР) на ФОТ  = 1706,47 х</v>
      </c>
      <c r="B65" s="243"/>
      <c r="C65" s="243"/>
      <c r="D65" s="243"/>
      <c r="E65" s="243"/>
      <c r="F65" s="71">
        <v>0.2</v>
      </c>
      <c r="G65" s="58">
        <f>ROUND(F65*G64,2)</f>
        <v>341.29</v>
      </c>
      <c r="H65" s="168">
        <f>IF(I65=0%,F65/0.7,F65/0.94)</f>
        <v>0.28571428571428575</v>
      </c>
      <c r="I65" s="198">
        <v>0</v>
      </c>
      <c r="J65" s="2"/>
      <c r="K65" s="2"/>
      <c r="L65" s="72" t="s">
        <v>46</v>
      </c>
      <c r="M65" s="32"/>
      <c r="N65" s="33"/>
      <c r="O65" s="34"/>
      <c r="P65" s="30">
        <f>P67</f>
        <v>3153.45</v>
      </c>
    </row>
    <row r="66" spans="1:19" s="1" customFormat="1" ht="14.45" customHeight="1">
      <c r="A66" s="242" t="str">
        <f>"Сметная прибыль (СП) на ФОТ = "&amp;G64&amp;" х"</f>
        <v>Сметная прибыль (СП) на ФОТ = 1706,47 х</v>
      </c>
      <c r="B66" s="245"/>
      <c r="C66" s="245"/>
      <c r="D66" s="245"/>
      <c r="E66" s="245"/>
      <c r="F66" s="71">
        <v>0.2</v>
      </c>
      <c r="G66" s="58">
        <f>ROUND(G64*F66,2)</f>
        <v>341.29</v>
      </c>
      <c r="H66" s="73">
        <f>IF(I65=0%,F66/0.9,0)</f>
        <v>0.22222222222222224</v>
      </c>
      <c r="I66" s="74"/>
      <c r="J66" s="75"/>
      <c r="K66" s="75"/>
      <c r="L66" s="76"/>
      <c r="M66" s="12"/>
      <c r="N66" s="9"/>
      <c r="O66" s="13"/>
      <c r="P66" s="30">
        <f>P67</f>
        <v>3153.45</v>
      </c>
    </row>
    <row r="67" spans="1:19" s="1" customFormat="1" ht="18.75" customHeight="1" thickBot="1">
      <c r="A67" s="246" t="str">
        <f>"Итого по разделу = ПЗ + НР+ СП = "&amp;G62&amp;" + "&amp;G65&amp;" + "&amp;G66&amp;" = "</f>
        <v xml:space="preserve">Итого по разделу = ПЗ + НР+ СП = 2470,87 + 341,29 + 341,29 = </v>
      </c>
      <c r="B67" s="246"/>
      <c r="C67" s="246"/>
      <c r="D67" s="246"/>
      <c r="E67" s="246"/>
      <c r="F67" s="247"/>
      <c r="G67" s="77">
        <f>G62+G65+G66</f>
        <v>3153.45</v>
      </c>
      <c r="H67" s="78"/>
      <c r="I67" s="315"/>
      <c r="J67" s="316"/>
      <c r="K67" s="316"/>
      <c r="L67" s="79"/>
      <c r="M67" s="32"/>
      <c r="N67" s="33"/>
      <c r="O67" s="34"/>
      <c r="P67" s="30">
        <f>G67</f>
        <v>3153.45</v>
      </c>
    </row>
    <row r="68" spans="1:19" s="1" customFormat="1" ht="8.25" customHeight="1">
      <c r="A68" s="169"/>
      <c r="B68" s="169"/>
      <c r="C68" s="169"/>
      <c r="D68" s="169"/>
      <c r="E68" s="79"/>
      <c r="F68" s="79"/>
      <c r="G68" s="79"/>
      <c r="H68" s="170"/>
      <c r="I68" s="170"/>
      <c r="J68" s="79"/>
      <c r="K68" s="79"/>
      <c r="L68" s="79"/>
      <c r="M68" s="32"/>
      <c r="N68" s="33"/>
      <c r="O68" s="34"/>
    </row>
    <row r="69" spans="1:19" s="1" customFormat="1" ht="17.25" customHeight="1">
      <c r="A69" s="305" t="s">
        <v>60</v>
      </c>
      <c r="B69" s="307" t="s">
        <v>53</v>
      </c>
      <c r="C69" s="308"/>
      <c r="D69" s="305" t="s">
        <v>10</v>
      </c>
      <c r="E69" s="311" t="s">
        <v>42</v>
      </c>
      <c r="F69" s="312"/>
      <c r="G69" s="231" t="s">
        <v>11</v>
      </c>
      <c r="H69" s="233" t="s">
        <v>74</v>
      </c>
      <c r="I69" s="234"/>
      <c r="J69" s="233" t="s">
        <v>72</v>
      </c>
      <c r="K69" s="235"/>
      <c r="L69" s="234"/>
      <c r="M69" s="41"/>
      <c r="N69" s="41"/>
      <c r="O69" s="41"/>
      <c r="P69" s="30">
        <f ca="1">P70</f>
        <v>1</v>
      </c>
    </row>
    <row r="70" spans="1:19" s="1" customFormat="1" ht="56.25" customHeight="1">
      <c r="A70" s="306"/>
      <c r="B70" s="309"/>
      <c r="C70" s="310"/>
      <c r="D70" s="306"/>
      <c r="E70" s="313"/>
      <c r="F70" s="314"/>
      <c r="G70" s="232"/>
      <c r="H70" s="80" t="s">
        <v>69</v>
      </c>
      <c r="I70" s="81" t="s">
        <v>66</v>
      </c>
      <c r="J70" s="303" t="s">
        <v>76</v>
      </c>
      <c r="K70" s="304"/>
      <c r="L70" s="82" t="s">
        <v>71</v>
      </c>
      <c r="M70" s="41"/>
      <c r="N70" s="41"/>
      <c r="O70" s="41"/>
      <c r="P70" s="30">
        <f ca="1">P71</f>
        <v>1</v>
      </c>
    </row>
    <row r="71" spans="1:19" s="1" customFormat="1">
      <c r="A71" s="83">
        <v>1</v>
      </c>
      <c r="B71" s="236">
        <v>2</v>
      </c>
      <c r="C71" s="237"/>
      <c r="D71" s="186">
        <v>3</v>
      </c>
      <c r="E71" s="236">
        <v>4</v>
      </c>
      <c r="F71" s="237"/>
      <c r="G71" s="83">
        <v>5</v>
      </c>
      <c r="H71" s="83">
        <v>6</v>
      </c>
      <c r="I71" s="83">
        <v>7</v>
      </c>
      <c r="J71" s="236">
        <v>8</v>
      </c>
      <c r="K71" s="237"/>
      <c r="L71" s="83">
        <v>9</v>
      </c>
      <c r="M71" s="41"/>
      <c r="N71" s="41"/>
      <c r="O71" s="41"/>
      <c r="P71" s="30">
        <f ca="1">P72</f>
        <v>1</v>
      </c>
    </row>
    <row r="72" spans="1:19" s="1" customFormat="1" ht="27" customHeight="1">
      <c r="A72" s="238" t="s">
        <v>97</v>
      </c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84"/>
      <c r="M72" s="32"/>
      <c r="N72" s="33"/>
      <c r="O72" s="34"/>
      <c r="P72" s="30">
        <f ca="1">IF(OFFSET(Q72,1,0)&gt;0,OFFSET(Q72,1,0),OFFSET(Q72,2,0))</f>
        <v>1</v>
      </c>
    </row>
    <row r="73" spans="1:19" s="1" customFormat="1" ht="13.5">
      <c r="A73" s="87">
        <v>1</v>
      </c>
      <c r="B73" s="296" t="s">
        <v>98</v>
      </c>
      <c r="C73" s="297"/>
      <c r="D73" s="88" t="s">
        <v>121</v>
      </c>
      <c r="E73" s="298" t="s">
        <v>12</v>
      </c>
      <c r="F73" s="299"/>
      <c r="G73" s="89">
        <v>1</v>
      </c>
      <c r="H73" s="90">
        <v>2486.06</v>
      </c>
      <c r="I73" s="91">
        <v>168</v>
      </c>
      <c r="J73" s="240">
        <f>ROUND(G73*H73,2)</f>
        <v>2486.06</v>
      </c>
      <c r="K73" s="241"/>
      <c r="L73" s="189">
        <f>ROUND(G73*I73,2)</f>
        <v>168</v>
      </c>
      <c r="M73" s="85">
        <f ca="1">IF(G73&gt;0,G73,OFFSET(G73,1,0))</f>
        <v>1</v>
      </c>
      <c r="N73" s="33"/>
      <c r="O73" s="34"/>
      <c r="P73" s="92">
        <f ca="1">IF(G73&lt;&gt;0,SUM(G73:OFFSET(G73,1,0))+1,0)</f>
        <v>2</v>
      </c>
      <c r="Q73" s="86">
        <f ca="1">G73+OFFSET(Q73,1,0)</f>
        <v>1</v>
      </c>
      <c r="S73" s="85"/>
    </row>
    <row r="74" spans="1:19" s="33" customFormat="1" ht="15" customHeight="1">
      <c r="A74" s="300" t="s">
        <v>56</v>
      </c>
      <c r="B74" s="301"/>
      <c r="C74" s="301"/>
      <c r="D74" s="301"/>
      <c r="E74" s="301"/>
      <c r="F74" s="301"/>
      <c r="G74" s="301"/>
      <c r="H74" s="301"/>
      <c r="I74" s="302"/>
      <c r="J74" s="221">
        <f>SUM(J73:J73)</f>
        <v>2486.06</v>
      </c>
      <c r="K74" s="222"/>
      <c r="L74" s="183">
        <f>SUM(L73:L73)</f>
        <v>168</v>
      </c>
      <c r="M74" s="85"/>
      <c r="O74" s="34"/>
      <c r="P74" s="70">
        <f>P82</f>
        <v>8488.9</v>
      </c>
    </row>
    <row r="75" spans="1:19" s="33" customFormat="1" ht="15" hidden="1" customHeight="1">
      <c r="A75" s="219" t="s">
        <v>36</v>
      </c>
      <c r="B75" s="220"/>
      <c r="C75" s="220"/>
      <c r="D75" s="220"/>
      <c r="E75" s="220"/>
      <c r="F75" s="220"/>
      <c r="G75" s="220"/>
      <c r="H75" s="220"/>
      <c r="I75" s="61">
        <v>1</v>
      </c>
      <c r="J75" s="217">
        <f>ROUND(J74*I75,2)</f>
        <v>2486.06</v>
      </c>
      <c r="K75" s="218"/>
      <c r="L75" s="181">
        <f>L74*I75</f>
        <v>168</v>
      </c>
      <c r="M75" s="32"/>
      <c r="O75" s="34"/>
      <c r="P75" s="1">
        <f>IF(AND(I75&gt;1,P74&gt;0),1,0)</f>
        <v>0</v>
      </c>
    </row>
    <row r="76" spans="1:19" s="33" customFormat="1" ht="15" hidden="1" customHeight="1">
      <c r="A76" s="219" t="str">
        <f>"С учетом стесненных условий производства работ на действующем предприятии =  "&amp;J75&amp;"  х "</f>
        <v xml:space="preserve">С учетом стесненных условий производства работ на действующем предприятии =  2486,06  х </v>
      </c>
      <c r="B76" s="220"/>
      <c r="C76" s="220"/>
      <c r="D76" s="220"/>
      <c r="E76" s="220"/>
      <c r="F76" s="220"/>
      <c r="G76" s="220"/>
      <c r="H76" s="220"/>
      <c r="I76" s="61">
        <v>1</v>
      </c>
      <c r="J76" s="221">
        <f>ROUND(J75*I76,2)</f>
        <v>2486.06</v>
      </c>
      <c r="K76" s="222"/>
      <c r="L76" s="183">
        <f>L75*I76</f>
        <v>168</v>
      </c>
      <c r="M76" s="32"/>
      <c r="O76" s="34"/>
      <c r="P76" s="1">
        <f>IF(AND(I76&gt;1,P74&gt;0),1,0)</f>
        <v>0</v>
      </c>
    </row>
    <row r="77" spans="1:19" s="33" customFormat="1" ht="15" hidden="1" customHeight="1">
      <c r="A77" s="219" t="str">
        <f>"С учетом особых условий производства = "&amp;J76&amp;"  х "</f>
        <v xml:space="preserve">С учетом особых условий производства = 2486,06  х </v>
      </c>
      <c r="B77" s="220"/>
      <c r="C77" s="220"/>
      <c r="D77" s="220"/>
      <c r="E77" s="220"/>
      <c r="F77" s="220"/>
      <c r="G77" s="220"/>
      <c r="H77" s="220"/>
      <c r="I77" s="61">
        <v>1</v>
      </c>
      <c r="J77" s="221">
        <f>ROUND(J76*I77,2)</f>
        <v>2486.06</v>
      </c>
      <c r="K77" s="222"/>
      <c r="L77" s="183">
        <f>L76*I77</f>
        <v>168</v>
      </c>
      <c r="M77" s="32"/>
      <c r="O77" s="34"/>
      <c r="P77" s="1">
        <f>IF(AND(I77&gt;1,P74&gt;0),1,0)</f>
        <v>0</v>
      </c>
    </row>
    <row r="78" spans="1:19" s="33" customFormat="1" ht="15" hidden="1" customHeight="1">
      <c r="A78" s="93">
        <f>1+I78</f>
        <v>1</v>
      </c>
      <c r="B78" s="220" t="str">
        <f>"С учетом зимних условий работ = "&amp;J77&amp;"  + "</f>
        <v xml:space="preserve">С учетом зимних условий работ = 2486,06  + </v>
      </c>
      <c r="C78" s="220"/>
      <c r="D78" s="220"/>
      <c r="E78" s="220"/>
      <c r="F78" s="220"/>
      <c r="G78" s="220"/>
      <c r="H78" s="220"/>
      <c r="I78" s="66">
        <v>0</v>
      </c>
      <c r="J78" s="221">
        <f>ROUND(J77*A78,2)</f>
        <v>2486.06</v>
      </c>
      <c r="K78" s="222"/>
      <c r="L78" s="94">
        <f>ROUND(L77*A78,2)</f>
        <v>168</v>
      </c>
      <c r="M78" s="32"/>
      <c r="O78" s="34"/>
      <c r="P78" s="1">
        <f>IF(AND(A78&gt;1,P74&gt;0),1,0)</f>
        <v>0</v>
      </c>
    </row>
    <row r="79" spans="1:19" s="33" customFormat="1" ht="15" customHeight="1">
      <c r="A79" s="219" t="str">
        <f>"Фонд оплаты труда (ФОТ) в текущих ценах с учетом коэф.инфляции на "&amp;L79&amp;" = "&amp;J78&amp;"  х "</f>
        <v xml:space="preserve">Фонд оплаты труда (ФОТ) в текущих ценах с учетом коэф.инфляции на 2кв. 2020г. = 2486,06  х </v>
      </c>
      <c r="B79" s="220"/>
      <c r="C79" s="220"/>
      <c r="D79" s="220"/>
      <c r="E79" s="220"/>
      <c r="F79" s="220"/>
      <c r="G79" s="220"/>
      <c r="H79" s="220"/>
      <c r="I79" s="171">
        <v>2.4390000000000001</v>
      </c>
      <c r="J79" s="217">
        <f>ROUND(J78*I79,2)</f>
        <v>6063.5</v>
      </c>
      <c r="K79" s="218"/>
      <c r="L79" s="95" t="str">
        <f>TRUNC((RIGHT(LEFT("03.04.2020",5),2)-1)/3,0)+1&amp;"кв. "&amp;RIGHT("03.04.2020",4)&amp;"г."</f>
        <v>2кв. 2020г.</v>
      </c>
      <c r="M79" s="32"/>
      <c r="O79" s="34"/>
      <c r="P79" s="70">
        <f>P82</f>
        <v>8488.9</v>
      </c>
    </row>
    <row r="80" spans="1:19" s="33" customFormat="1" ht="15" customHeight="1">
      <c r="A80" s="219" t="str">
        <f>"Накладные расходы (НР) на ФОТ = "&amp;J79&amp;" х"</f>
        <v>Накладные расходы (НР) на ФОТ = 6063,5 х</v>
      </c>
      <c r="B80" s="220"/>
      <c r="C80" s="220"/>
      <c r="D80" s="220"/>
      <c r="E80" s="220"/>
      <c r="F80" s="220"/>
      <c r="G80" s="220"/>
      <c r="H80" s="220"/>
      <c r="I80" s="66">
        <v>0.2</v>
      </c>
      <c r="J80" s="221">
        <f>ROUND(J79*I80,2)</f>
        <v>1212.7</v>
      </c>
      <c r="K80" s="222"/>
      <c r="L80" s="180">
        <f>IF(M80=0,I80/0.7,I80/0.94)</f>
        <v>0.28571428571428575</v>
      </c>
      <c r="M80" s="199">
        <v>0</v>
      </c>
      <c r="N80" s="9"/>
      <c r="O80" s="13"/>
      <c r="P80" s="70">
        <f>P82</f>
        <v>8488.9</v>
      </c>
    </row>
    <row r="81" spans="1:16" s="33" customFormat="1" ht="15" customHeight="1" thickBot="1">
      <c r="A81" s="223" t="str">
        <f>"Сметная прибыль (СП) на ФОТ = "&amp;J79&amp;" х"</f>
        <v>Сметная прибыль (СП) на ФОТ = 6063,5 х</v>
      </c>
      <c r="B81" s="224"/>
      <c r="C81" s="224"/>
      <c r="D81" s="224"/>
      <c r="E81" s="224"/>
      <c r="F81" s="224"/>
      <c r="G81" s="224"/>
      <c r="H81" s="224"/>
      <c r="I81" s="96">
        <v>0.2</v>
      </c>
      <c r="J81" s="225">
        <f>ROUND(J79*I81,2)</f>
        <v>1212.7</v>
      </c>
      <c r="K81" s="226"/>
      <c r="L81" s="97">
        <f>IF(M80=0%,I81/0.9,0)</f>
        <v>0.22222222222222224</v>
      </c>
      <c r="M81" s="12"/>
      <c r="N81" s="9"/>
      <c r="O81" s="13"/>
      <c r="P81" s="70">
        <f>P82</f>
        <v>8488.9</v>
      </c>
    </row>
    <row r="82" spans="1:16" s="33" customFormat="1" ht="19.5" customHeight="1" thickTop="1" thickBot="1">
      <c r="A82" s="227" t="str">
        <f>"Итого по разделу = ФОТ+ НР + СП = "&amp;J79&amp;" + "&amp;J80&amp;" + "&amp;J81&amp;" = "</f>
        <v xml:space="preserve">Итого по разделу = ФОТ+ НР + СП = 6063,5 + 1212,7 + 1212,7 = </v>
      </c>
      <c r="B82" s="227"/>
      <c r="C82" s="227"/>
      <c r="D82" s="227"/>
      <c r="E82" s="227"/>
      <c r="F82" s="227"/>
      <c r="G82" s="227"/>
      <c r="H82" s="227"/>
      <c r="I82" s="228"/>
      <c r="J82" s="229">
        <f>J79+J80+J81</f>
        <v>8488.9</v>
      </c>
      <c r="K82" s="230"/>
      <c r="L82" s="98"/>
      <c r="M82" s="32"/>
      <c r="O82" s="34"/>
      <c r="P82" s="70">
        <f>J82</f>
        <v>8488.9</v>
      </c>
    </row>
    <row r="83" spans="1:16" s="1" customFormat="1" ht="11.25" customHeight="1" thickBot="1">
      <c r="A83" s="99"/>
      <c r="B83" s="99"/>
      <c r="C83" s="99"/>
      <c r="D83" s="100"/>
      <c r="E83" s="101"/>
      <c r="F83" s="101"/>
      <c r="G83" s="101"/>
      <c r="H83" s="101"/>
      <c r="I83" s="101"/>
      <c r="J83" s="101"/>
      <c r="K83" s="101"/>
      <c r="L83" s="102"/>
      <c r="M83" s="32"/>
      <c r="N83" s="33"/>
      <c r="O83" s="34"/>
    </row>
    <row r="84" spans="1:16" s="1" customFormat="1" ht="20.25" customHeight="1" thickTop="1" thickBot="1">
      <c r="A84" s="286"/>
      <c r="B84" s="286"/>
      <c r="C84" s="286"/>
      <c r="D84" s="191" t="s">
        <v>33</v>
      </c>
      <c r="E84" s="287" t="s">
        <v>48</v>
      </c>
      <c r="F84" s="288"/>
      <c r="G84" s="184" t="s">
        <v>32</v>
      </c>
      <c r="H84" s="103" t="s">
        <v>30</v>
      </c>
      <c r="I84" s="184" t="s">
        <v>31</v>
      </c>
      <c r="J84" s="104" t="s">
        <v>8</v>
      </c>
      <c r="K84" s="105" t="s">
        <v>37</v>
      </c>
      <c r="L84" s="190" t="s">
        <v>41</v>
      </c>
      <c r="M84" s="32"/>
      <c r="N84" s="33"/>
      <c r="O84" s="34"/>
    </row>
    <row r="85" spans="1:16" s="1" customFormat="1" ht="21.75" customHeight="1" thickTop="1">
      <c r="A85" s="106"/>
      <c r="B85" s="9"/>
      <c r="C85" s="9"/>
      <c r="D85" s="194"/>
      <c r="E85" s="289">
        <f>ROUND(G49+G67+J82+0,2)</f>
        <v>70493.87</v>
      </c>
      <c r="F85" s="290"/>
      <c r="G85" s="182">
        <f>G46+G64+J79</f>
        <v>35557.81</v>
      </c>
      <c r="H85" s="107">
        <f>G47+G65+J80</f>
        <v>1553.99</v>
      </c>
      <c r="I85" s="107">
        <f>G48+G66+J81</f>
        <v>1553.99</v>
      </c>
      <c r="J85" s="107">
        <f>I44+I62</f>
        <v>4738.9799999999996</v>
      </c>
      <c r="K85" s="107">
        <f>K44+K62</f>
        <v>27558.309999999998</v>
      </c>
      <c r="L85" s="108">
        <f>L44+L62+L78</f>
        <v>638.23</v>
      </c>
      <c r="M85" s="32"/>
      <c r="N85" s="33"/>
      <c r="O85" s="34"/>
    </row>
    <row r="86" spans="1:16" s="1" customFormat="1" ht="8.25" customHeight="1">
      <c r="A86" s="106"/>
      <c r="B86" s="9"/>
      <c r="C86" s="9"/>
      <c r="D86" s="192"/>
      <c r="E86" s="109"/>
      <c r="F86" s="109"/>
      <c r="G86" s="109"/>
      <c r="H86" s="109"/>
      <c r="I86" s="109"/>
      <c r="J86" s="109"/>
      <c r="K86" s="109"/>
      <c r="L86" s="110"/>
      <c r="M86" s="32"/>
      <c r="N86" s="33"/>
      <c r="O86" s="34"/>
    </row>
    <row r="87" spans="1:16" s="1" customFormat="1" ht="31.5" customHeight="1">
      <c r="A87" s="282" t="s">
        <v>50</v>
      </c>
      <c r="B87" s="282"/>
      <c r="C87" s="282"/>
      <c r="D87" s="282"/>
      <c r="E87" s="282"/>
      <c r="F87" s="282"/>
      <c r="G87" s="282"/>
      <c r="H87" s="282"/>
      <c r="I87" s="282"/>
      <c r="J87" s="282"/>
      <c r="K87" s="282"/>
      <c r="L87" s="111"/>
      <c r="M87" s="32"/>
      <c r="N87" s="33"/>
      <c r="O87" s="34"/>
      <c r="P87" s="112">
        <f ca="1">SUM(P89:OFFSET(P89,2000,0))</f>
        <v>287118.39</v>
      </c>
    </row>
    <row r="88" spans="1:16" s="1" customFormat="1" ht="24.75" customHeight="1">
      <c r="A88" s="113" t="s">
        <v>13</v>
      </c>
      <c r="B88" s="283" t="s">
        <v>59</v>
      </c>
      <c r="C88" s="284"/>
      <c r="D88" s="284"/>
      <c r="E88" s="284"/>
      <c r="F88" s="284"/>
      <c r="G88" s="285"/>
      <c r="H88" s="114" t="s">
        <v>14</v>
      </c>
      <c r="I88" s="115" t="s">
        <v>11</v>
      </c>
      <c r="J88" s="116" t="s">
        <v>22</v>
      </c>
      <c r="K88" s="291" t="s">
        <v>28</v>
      </c>
      <c r="L88" s="292"/>
      <c r="M88" s="32"/>
      <c r="N88" s="33"/>
      <c r="O88" s="34"/>
      <c r="P88" s="30">
        <f ca="1">P87</f>
        <v>287118.39</v>
      </c>
    </row>
    <row r="89" spans="1:16" s="33" customFormat="1" ht="14.25" customHeight="1">
      <c r="A89" s="117">
        <v>1</v>
      </c>
      <c r="B89" s="293" t="s">
        <v>99</v>
      </c>
      <c r="C89" s="294"/>
      <c r="D89" s="294"/>
      <c r="E89" s="294"/>
      <c r="F89" s="294"/>
      <c r="G89" s="295"/>
      <c r="H89" s="118" t="s">
        <v>15</v>
      </c>
      <c r="I89" s="119">
        <v>1</v>
      </c>
      <c r="J89" s="120">
        <v>6007.13</v>
      </c>
      <c r="K89" s="212">
        <f t="shared" ref="K89:K100" si="2">ROUND(I89*J89,2)</f>
        <v>6007.13</v>
      </c>
      <c r="L89" s="212"/>
      <c r="M89" s="32"/>
      <c r="O89" s="34"/>
      <c r="P89" s="121">
        <f t="shared" ref="P89:P101" si="3">K89</f>
        <v>6007.13</v>
      </c>
    </row>
    <row r="90" spans="1:16" s="33" customFormat="1" ht="14.25" customHeight="1">
      <c r="A90" s="117">
        <v>2</v>
      </c>
      <c r="B90" s="209" t="s">
        <v>100</v>
      </c>
      <c r="C90" s="210"/>
      <c r="D90" s="210"/>
      <c r="E90" s="210"/>
      <c r="F90" s="210"/>
      <c r="G90" s="211"/>
      <c r="H90" s="118" t="s">
        <v>15</v>
      </c>
      <c r="I90" s="119">
        <v>1</v>
      </c>
      <c r="J90" s="120">
        <v>2320</v>
      </c>
      <c r="K90" s="212">
        <f t="shared" si="2"/>
        <v>2320</v>
      </c>
      <c r="L90" s="212"/>
      <c r="M90" s="32"/>
      <c r="O90" s="34"/>
      <c r="P90" s="121">
        <f t="shared" si="3"/>
        <v>2320</v>
      </c>
    </row>
    <row r="91" spans="1:16" s="33" customFormat="1" ht="14.25" customHeight="1">
      <c r="A91" s="117">
        <v>3</v>
      </c>
      <c r="B91" s="209" t="s">
        <v>101</v>
      </c>
      <c r="C91" s="210"/>
      <c r="D91" s="210"/>
      <c r="E91" s="210"/>
      <c r="F91" s="210"/>
      <c r="G91" s="211"/>
      <c r="H91" s="118" t="s">
        <v>80</v>
      </c>
      <c r="I91" s="119">
        <v>52</v>
      </c>
      <c r="J91" s="120">
        <v>340</v>
      </c>
      <c r="K91" s="212">
        <f t="shared" si="2"/>
        <v>17680</v>
      </c>
      <c r="L91" s="212"/>
      <c r="M91" s="32"/>
      <c r="O91" s="34"/>
      <c r="P91" s="121">
        <f t="shared" si="3"/>
        <v>17680</v>
      </c>
    </row>
    <row r="92" spans="1:16" s="33" customFormat="1" ht="14.25" customHeight="1">
      <c r="A92" s="117">
        <v>4</v>
      </c>
      <c r="B92" s="209" t="s">
        <v>102</v>
      </c>
      <c r="C92" s="210"/>
      <c r="D92" s="210"/>
      <c r="E92" s="210"/>
      <c r="F92" s="210"/>
      <c r="G92" s="211"/>
      <c r="H92" s="118" t="s">
        <v>80</v>
      </c>
      <c r="I92" s="119">
        <v>4</v>
      </c>
      <c r="J92" s="120">
        <v>310</v>
      </c>
      <c r="K92" s="212">
        <f t="shared" si="2"/>
        <v>1240</v>
      </c>
      <c r="L92" s="212"/>
      <c r="M92" s="32"/>
      <c r="O92" s="34"/>
      <c r="P92" s="121">
        <f t="shared" si="3"/>
        <v>1240</v>
      </c>
    </row>
    <row r="93" spans="1:16" s="33" customFormat="1" ht="14.25" customHeight="1">
      <c r="A93" s="117">
        <v>5</v>
      </c>
      <c r="B93" s="209" t="s">
        <v>103</v>
      </c>
      <c r="C93" s="210"/>
      <c r="D93" s="210"/>
      <c r="E93" s="210"/>
      <c r="F93" s="210"/>
      <c r="G93" s="211"/>
      <c r="H93" s="118" t="s">
        <v>80</v>
      </c>
      <c r="I93" s="119">
        <v>8</v>
      </c>
      <c r="J93" s="120">
        <v>1550</v>
      </c>
      <c r="K93" s="212">
        <f t="shared" si="2"/>
        <v>12400</v>
      </c>
      <c r="L93" s="212"/>
      <c r="M93" s="32"/>
      <c r="O93" s="34"/>
      <c r="P93" s="121">
        <f t="shared" si="3"/>
        <v>12400</v>
      </c>
    </row>
    <row r="94" spans="1:16" s="33" customFormat="1" ht="14.25" customHeight="1">
      <c r="A94" s="117">
        <v>6</v>
      </c>
      <c r="B94" s="209" t="s">
        <v>104</v>
      </c>
      <c r="C94" s="210"/>
      <c r="D94" s="210"/>
      <c r="E94" s="210"/>
      <c r="F94" s="210"/>
      <c r="G94" s="211"/>
      <c r="H94" s="118" t="s">
        <v>80</v>
      </c>
      <c r="I94" s="119">
        <v>26</v>
      </c>
      <c r="J94" s="120">
        <v>290</v>
      </c>
      <c r="K94" s="212">
        <f t="shared" si="2"/>
        <v>7540</v>
      </c>
      <c r="L94" s="212"/>
      <c r="M94" s="32"/>
      <c r="O94" s="34"/>
      <c r="P94" s="121">
        <f t="shared" si="3"/>
        <v>7540</v>
      </c>
    </row>
    <row r="95" spans="1:16" s="33" customFormat="1" ht="14.25" customHeight="1">
      <c r="A95" s="117">
        <v>7</v>
      </c>
      <c r="B95" s="209" t="s">
        <v>105</v>
      </c>
      <c r="C95" s="210"/>
      <c r="D95" s="210"/>
      <c r="E95" s="210"/>
      <c r="F95" s="210"/>
      <c r="G95" s="211"/>
      <c r="H95" s="118" t="s">
        <v>15</v>
      </c>
      <c r="I95" s="119">
        <v>2</v>
      </c>
      <c r="J95" s="120">
        <v>1620</v>
      </c>
      <c r="K95" s="212">
        <f t="shared" si="2"/>
        <v>3240</v>
      </c>
      <c r="L95" s="212"/>
      <c r="M95" s="32"/>
      <c r="O95" s="34"/>
      <c r="P95" s="121">
        <f t="shared" si="3"/>
        <v>3240</v>
      </c>
    </row>
    <row r="96" spans="1:16" s="33" customFormat="1" ht="14.25" customHeight="1">
      <c r="A96" s="117">
        <v>8</v>
      </c>
      <c r="B96" s="209" t="s">
        <v>106</v>
      </c>
      <c r="C96" s="210"/>
      <c r="D96" s="210"/>
      <c r="E96" s="210"/>
      <c r="F96" s="210"/>
      <c r="G96" s="211"/>
      <c r="H96" s="118" t="s">
        <v>107</v>
      </c>
      <c r="I96" s="119">
        <v>460</v>
      </c>
      <c r="J96" s="120">
        <v>41.5</v>
      </c>
      <c r="K96" s="212">
        <f t="shared" si="2"/>
        <v>19090</v>
      </c>
      <c r="L96" s="212"/>
      <c r="M96" s="32"/>
      <c r="O96" s="34"/>
      <c r="P96" s="121">
        <f t="shared" si="3"/>
        <v>19090</v>
      </c>
    </row>
    <row r="97" spans="1:17" s="33" customFormat="1" ht="14.25" customHeight="1">
      <c r="A97" s="117">
        <v>9</v>
      </c>
      <c r="B97" s="209" t="s">
        <v>108</v>
      </c>
      <c r="C97" s="210"/>
      <c r="D97" s="210"/>
      <c r="E97" s="210"/>
      <c r="F97" s="210"/>
      <c r="G97" s="211"/>
      <c r="H97" s="118" t="s">
        <v>15</v>
      </c>
      <c r="I97" s="119">
        <v>250</v>
      </c>
      <c r="J97" s="120">
        <v>60.3</v>
      </c>
      <c r="K97" s="212">
        <f t="shared" si="2"/>
        <v>15075</v>
      </c>
      <c r="L97" s="212"/>
      <c r="M97" s="32"/>
      <c r="O97" s="34"/>
      <c r="P97" s="121">
        <f t="shared" si="3"/>
        <v>15075</v>
      </c>
    </row>
    <row r="98" spans="1:17" s="33" customFormat="1" ht="14.25" customHeight="1">
      <c r="A98" s="117">
        <v>10</v>
      </c>
      <c r="B98" s="209" t="s">
        <v>109</v>
      </c>
      <c r="C98" s="210"/>
      <c r="D98" s="210"/>
      <c r="E98" s="210"/>
      <c r="F98" s="210"/>
      <c r="G98" s="211"/>
      <c r="H98" s="118" t="s">
        <v>110</v>
      </c>
      <c r="I98" s="119">
        <v>350</v>
      </c>
      <c r="J98" s="120">
        <v>27</v>
      </c>
      <c r="K98" s="212">
        <f t="shared" si="2"/>
        <v>9450</v>
      </c>
      <c r="L98" s="212"/>
      <c r="M98" s="32"/>
      <c r="O98" s="34"/>
      <c r="P98" s="121">
        <f t="shared" si="3"/>
        <v>9450</v>
      </c>
    </row>
    <row r="99" spans="1:17" s="33" customFormat="1" ht="14.25" customHeight="1">
      <c r="A99" s="117">
        <v>11</v>
      </c>
      <c r="B99" s="209" t="s">
        <v>111</v>
      </c>
      <c r="C99" s="210"/>
      <c r="D99" s="210"/>
      <c r="E99" s="210"/>
      <c r="F99" s="210"/>
      <c r="G99" s="211"/>
      <c r="H99" s="118" t="s">
        <v>15</v>
      </c>
      <c r="I99" s="119">
        <v>50</v>
      </c>
      <c r="J99" s="120">
        <v>25</v>
      </c>
      <c r="K99" s="212">
        <f t="shared" si="2"/>
        <v>1250</v>
      </c>
      <c r="L99" s="212"/>
      <c r="M99" s="32"/>
      <c r="O99" s="34"/>
      <c r="P99" s="121">
        <f t="shared" si="3"/>
        <v>1250</v>
      </c>
    </row>
    <row r="100" spans="1:17" s="33" customFormat="1" ht="14.25" customHeight="1">
      <c r="A100" s="117">
        <v>12</v>
      </c>
      <c r="B100" s="209" t="s">
        <v>112</v>
      </c>
      <c r="C100" s="210"/>
      <c r="D100" s="210"/>
      <c r="E100" s="210"/>
      <c r="F100" s="210"/>
      <c r="G100" s="211"/>
      <c r="H100" s="118" t="s">
        <v>15</v>
      </c>
      <c r="I100" s="119">
        <v>45</v>
      </c>
      <c r="J100" s="120">
        <v>9.1999999999999993</v>
      </c>
      <c r="K100" s="212">
        <f t="shared" si="2"/>
        <v>414</v>
      </c>
      <c r="L100" s="212"/>
      <c r="M100" s="32"/>
      <c r="O100" s="34"/>
      <c r="P100" s="121">
        <f t="shared" si="3"/>
        <v>414</v>
      </c>
    </row>
    <row r="101" spans="1:17" s="33" customFormat="1">
      <c r="A101" s="122"/>
      <c r="B101" s="123" t="s">
        <v>19</v>
      </c>
      <c r="C101" s="123"/>
      <c r="D101" s="124"/>
      <c r="E101" s="125"/>
      <c r="F101" s="126"/>
      <c r="G101" s="127"/>
      <c r="H101" s="127"/>
      <c r="I101" s="125"/>
      <c r="J101" s="128" t="s">
        <v>29</v>
      </c>
      <c r="K101" s="216">
        <f>SUM(K89:K100)</f>
        <v>95706.13</v>
      </c>
      <c r="L101" s="216"/>
      <c r="M101" s="32"/>
      <c r="O101" s="34"/>
      <c r="P101" s="70">
        <f t="shared" si="3"/>
        <v>95706.13</v>
      </c>
      <c r="Q101" s="70"/>
    </row>
    <row r="102" spans="1:17" s="33" customFormat="1">
      <c r="A102" s="129" t="s">
        <v>20</v>
      </c>
      <c r="B102" s="130" t="s">
        <v>21</v>
      </c>
      <c r="C102" s="130"/>
      <c r="D102" s="131"/>
      <c r="E102" s="132"/>
      <c r="F102" s="133"/>
      <c r="G102" s="134"/>
      <c r="H102" s="134"/>
      <c r="I102" s="132"/>
      <c r="J102" s="132"/>
      <c r="K102" s="135"/>
      <c r="L102" s="136"/>
      <c r="M102" s="32"/>
      <c r="O102" s="34"/>
      <c r="P102" s="70">
        <f>P101</f>
        <v>95706.13</v>
      </c>
    </row>
    <row r="103" spans="1:17" s="1" customFormat="1" ht="22.5" customHeight="1" thickBot="1">
      <c r="A103" s="175"/>
      <c r="B103" s="176"/>
      <c r="C103" s="176"/>
      <c r="D103" s="213" t="s">
        <v>27</v>
      </c>
      <c r="E103" s="214"/>
      <c r="F103" s="207" t="s">
        <v>26</v>
      </c>
      <c r="G103" s="208"/>
      <c r="H103" s="177"/>
      <c r="I103" s="25"/>
      <c r="J103" s="25"/>
      <c r="K103" s="215"/>
      <c r="L103" s="215"/>
      <c r="M103" s="32"/>
      <c r="N103" s="33"/>
      <c r="O103" s="34"/>
    </row>
    <row r="104" spans="1:17" s="33" customFormat="1" ht="15.95" customHeight="1" thickTop="1">
      <c r="A104" s="200"/>
      <c r="B104" s="200"/>
      <c r="C104" s="178"/>
      <c r="D104" s="138"/>
      <c r="E104" s="172" t="s">
        <v>51</v>
      </c>
      <c r="F104" s="201">
        <f>ROUND(G49+G67+J82+0,2)</f>
        <v>70493.87</v>
      </c>
      <c r="G104" s="202"/>
      <c r="H104" s="145">
        <v>0</v>
      </c>
      <c r="I104" s="203">
        <f>F104*H104</f>
        <v>0</v>
      </c>
      <c r="J104" s="203"/>
      <c r="K104" s="204">
        <f>F104+I104</f>
        <v>70493.87</v>
      </c>
      <c r="L104" s="204"/>
      <c r="M104" s="32"/>
      <c r="O104" s="34"/>
    </row>
    <row r="105" spans="1:17" s="33" customFormat="1" ht="15.95" customHeight="1">
      <c r="A105" s="139"/>
      <c r="B105" s="139"/>
      <c r="C105" s="140"/>
      <c r="D105" s="137"/>
      <c r="E105" s="173" t="s">
        <v>57</v>
      </c>
      <c r="F105" s="275">
        <f>ROUND(K101,2)</f>
        <v>95706.13</v>
      </c>
      <c r="G105" s="276"/>
      <c r="H105" s="146">
        <v>0</v>
      </c>
      <c r="I105" s="204">
        <f>F105*H105</f>
        <v>0</v>
      </c>
      <c r="J105" s="204"/>
      <c r="K105" s="277">
        <f>F105+I105</f>
        <v>95706.13</v>
      </c>
      <c r="L105" s="277"/>
      <c r="M105" s="32"/>
      <c r="O105" s="34"/>
    </row>
    <row r="106" spans="1:17" s="33" customFormat="1" ht="15.95" customHeight="1">
      <c r="A106" s="179"/>
      <c r="B106" s="139"/>
      <c r="C106" s="140"/>
      <c r="D106" s="141" t="str">
        <f>IF(E106=0,"Заготовительно-складские расходы = ","Заготовительно-складские расходы = "&amp;FIXED(F105,2)&amp;" х")</f>
        <v xml:space="preserve">Заготовительно-складские расходы = </v>
      </c>
      <c r="E106" s="142">
        <v>0</v>
      </c>
      <c r="F106" s="278">
        <f>ROUND(F105*E106,2)</f>
        <v>0</v>
      </c>
      <c r="G106" s="279"/>
      <c r="H106" s="147"/>
      <c r="I106" s="280"/>
      <c r="J106" s="280"/>
      <c r="K106" s="281"/>
      <c r="L106" s="281"/>
      <c r="M106" s="32"/>
      <c r="O106" s="34"/>
    </row>
    <row r="107" spans="1:17" s="33" customFormat="1" ht="15.95" customHeight="1">
      <c r="A107" s="137"/>
      <c r="B107" s="137"/>
      <c r="C107" s="137"/>
      <c r="D107" s="141" t="str">
        <f>IF(E107=0,"Транспортные расходы = ","Транспортные расходы = "&amp;FIXED(F105,2)&amp;" х")</f>
        <v xml:space="preserve">Транспортные расходы = </v>
      </c>
      <c r="E107" s="142">
        <v>0</v>
      </c>
      <c r="F107" s="205">
        <f>ROUND(F105*E107,2)</f>
        <v>0</v>
      </c>
      <c r="G107" s="206"/>
      <c r="H107" s="143" t="s">
        <v>24</v>
      </c>
      <c r="I107" s="207" t="s">
        <v>25</v>
      </c>
      <c r="J107" s="208"/>
      <c r="K107" s="207" t="s">
        <v>35</v>
      </c>
      <c r="L107" s="208"/>
      <c r="M107" s="32"/>
      <c r="O107" s="34"/>
    </row>
    <row r="108" spans="1:17" s="33" customFormat="1" ht="18.75" customHeight="1">
      <c r="A108" s="144"/>
      <c r="B108" s="144"/>
      <c r="C108" s="144"/>
      <c r="D108" s="106"/>
      <c r="E108" s="174" t="s">
        <v>52</v>
      </c>
      <c r="F108" s="271">
        <f>SUM(F104:F107)</f>
        <v>166200</v>
      </c>
      <c r="G108" s="272"/>
      <c r="H108" s="148">
        <f>H105</f>
        <v>0</v>
      </c>
      <c r="I108" s="271">
        <f>ROUND(F108*H108,2)</f>
        <v>0</v>
      </c>
      <c r="J108" s="272"/>
      <c r="K108" s="271">
        <f>F108+I108</f>
        <v>166200</v>
      </c>
      <c r="L108" s="272"/>
      <c r="M108" s="32"/>
      <c r="O108" s="34"/>
    </row>
    <row r="109" spans="1:17" s="1" customFormat="1" ht="66.75" customHeight="1">
      <c r="A109" s="273" t="s">
        <v>18</v>
      </c>
      <c r="B109" s="273"/>
      <c r="C109" s="273"/>
      <c r="D109" s="274"/>
      <c r="E109" s="274"/>
      <c r="F109" s="274"/>
      <c r="G109" s="274"/>
      <c r="H109" s="274"/>
      <c r="I109" s="274"/>
      <c r="J109" s="274"/>
      <c r="K109" s="274"/>
      <c r="L109" s="274"/>
      <c r="M109" s="32"/>
      <c r="N109" s="33"/>
      <c r="O109" s="34"/>
    </row>
    <row r="110" spans="1:17" s="1" customFormat="1">
      <c r="A110" s="185"/>
      <c r="B110" s="185"/>
      <c r="C110" s="185"/>
      <c r="D110" s="254" t="s">
        <v>40</v>
      </c>
      <c r="E110" s="254"/>
      <c r="F110" s="254"/>
      <c r="G110" s="254"/>
      <c r="H110" s="149"/>
      <c r="I110" s="149"/>
      <c r="J110" s="149"/>
      <c r="K110" s="149"/>
      <c r="L110" s="149"/>
      <c r="M110" s="32"/>
      <c r="N110" s="33"/>
      <c r="O110" s="34"/>
    </row>
    <row r="111" spans="1:17" s="1" customFormat="1" ht="65.25" customHeight="1">
      <c r="A111" s="273" t="s">
        <v>23</v>
      </c>
      <c r="B111" s="273"/>
      <c r="C111" s="273"/>
      <c r="D111" s="274" t="s">
        <v>119</v>
      </c>
      <c r="E111" s="274"/>
      <c r="F111" s="274"/>
      <c r="G111" s="274"/>
      <c r="H111" s="274"/>
      <c r="I111" s="274"/>
      <c r="J111" s="274"/>
      <c r="K111" s="274"/>
      <c r="L111" s="274"/>
      <c r="M111" s="32"/>
      <c r="N111" s="33"/>
      <c r="O111" s="34"/>
    </row>
    <row r="112" spans="1:17" s="1" customFormat="1">
      <c r="A112" s="2"/>
      <c r="B112" s="2"/>
      <c r="C112" s="2"/>
      <c r="D112" s="254" t="s">
        <v>40</v>
      </c>
      <c r="E112" s="254"/>
      <c r="F112" s="254"/>
      <c r="G112" s="254"/>
      <c r="H112" s="149"/>
      <c r="I112" s="149"/>
      <c r="J112" s="149"/>
      <c r="K112" s="149"/>
      <c r="L112" s="149"/>
      <c r="M112" s="32"/>
      <c r="N112" s="33"/>
      <c r="O112" s="34"/>
    </row>
  </sheetData>
  <mergeCells count="164">
    <mergeCell ref="A15:G15"/>
    <mergeCell ref="A16:G16"/>
    <mergeCell ref="A17:G17"/>
    <mergeCell ref="B23:C23"/>
    <mergeCell ref="E23:F23"/>
    <mergeCell ref="A24:K24"/>
    <mergeCell ref="I2:L2"/>
    <mergeCell ref="A10:L10"/>
    <mergeCell ref="A13:D13"/>
    <mergeCell ref="I49:K49"/>
    <mergeCell ref="E45:F45"/>
    <mergeCell ref="A41:E41"/>
    <mergeCell ref="A42:E42"/>
    <mergeCell ref="B43:E43"/>
    <mergeCell ref="B25:C25"/>
    <mergeCell ref="E25:F25"/>
    <mergeCell ref="E26:F26"/>
    <mergeCell ref="B27:C27"/>
    <mergeCell ref="E32:F32"/>
    <mergeCell ref="B33:C33"/>
    <mergeCell ref="E33:F33"/>
    <mergeCell ref="E34:F34"/>
    <mergeCell ref="B35:C35"/>
    <mergeCell ref="E35:F35"/>
    <mergeCell ref="E27:F27"/>
    <mergeCell ref="E28:F28"/>
    <mergeCell ref="B29:C29"/>
    <mergeCell ref="E29:F29"/>
    <mergeCell ref="E30:F30"/>
    <mergeCell ref="B31:C31"/>
    <mergeCell ref="E31:F31"/>
    <mergeCell ref="A44:F44"/>
    <mergeCell ref="A45:D45"/>
    <mergeCell ref="A66:E66"/>
    <mergeCell ref="A67:F67"/>
    <mergeCell ref="I67:K67"/>
    <mergeCell ref="A65:E65"/>
    <mergeCell ref="A57:F57"/>
    <mergeCell ref="A58:E58"/>
    <mergeCell ref="A59:E59"/>
    <mergeCell ref="E56:F56"/>
    <mergeCell ref="B51:C51"/>
    <mergeCell ref="E51:F51"/>
    <mergeCell ref="A60:E60"/>
    <mergeCell ref="B61:E61"/>
    <mergeCell ref="A62:F62"/>
    <mergeCell ref="A63:D63"/>
    <mergeCell ref="E63:F63"/>
    <mergeCell ref="A64:F64"/>
    <mergeCell ref="G51:L51"/>
    <mergeCell ref="E52:F52"/>
    <mergeCell ref="B53:C53"/>
    <mergeCell ref="E53:F53"/>
    <mergeCell ref="A54:K54"/>
    <mergeCell ref="B55:C55"/>
    <mergeCell ref="E55:F55"/>
    <mergeCell ref="B73:C73"/>
    <mergeCell ref="E73:F73"/>
    <mergeCell ref="A74:I74"/>
    <mergeCell ref="J70:K70"/>
    <mergeCell ref="J71:K71"/>
    <mergeCell ref="A69:A70"/>
    <mergeCell ref="B69:C70"/>
    <mergeCell ref="D69:D70"/>
    <mergeCell ref="E69:F70"/>
    <mergeCell ref="K96:L96"/>
    <mergeCell ref="B96:G96"/>
    <mergeCell ref="K94:L94"/>
    <mergeCell ref="K89:L89"/>
    <mergeCell ref="K93:L93"/>
    <mergeCell ref="A87:K87"/>
    <mergeCell ref="B88:G88"/>
    <mergeCell ref="A84:C84"/>
    <mergeCell ref="E84:F84"/>
    <mergeCell ref="E85:F85"/>
    <mergeCell ref="B92:G92"/>
    <mergeCell ref="K92:L92"/>
    <mergeCell ref="B93:G93"/>
    <mergeCell ref="B94:G94"/>
    <mergeCell ref="B95:G95"/>
    <mergeCell ref="K88:L88"/>
    <mergeCell ref="B89:G89"/>
    <mergeCell ref="B90:G90"/>
    <mergeCell ref="K90:L90"/>
    <mergeCell ref="B91:G91"/>
    <mergeCell ref="K91:L91"/>
    <mergeCell ref="K95:L95"/>
    <mergeCell ref="D112:G112"/>
    <mergeCell ref="I1:L1"/>
    <mergeCell ref="A8:G8"/>
    <mergeCell ref="A9:L9"/>
    <mergeCell ref="A12:D12"/>
    <mergeCell ref="A14:G14"/>
    <mergeCell ref="B21:C21"/>
    <mergeCell ref="E21:F21"/>
    <mergeCell ref="G21:L21"/>
    <mergeCell ref="E22:F22"/>
    <mergeCell ref="F108:G108"/>
    <mergeCell ref="A109:C109"/>
    <mergeCell ref="D109:L109"/>
    <mergeCell ref="D110:G110"/>
    <mergeCell ref="A111:C111"/>
    <mergeCell ref="D111:L111"/>
    <mergeCell ref="I108:J108"/>
    <mergeCell ref="K108:L108"/>
    <mergeCell ref="F105:G105"/>
    <mergeCell ref="I105:J105"/>
    <mergeCell ref="K105:L105"/>
    <mergeCell ref="F106:G106"/>
    <mergeCell ref="I106:J106"/>
    <mergeCell ref="K106:L106"/>
    <mergeCell ref="A46:F46"/>
    <mergeCell ref="A47:E47"/>
    <mergeCell ref="A48:E48"/>
    <mergeCell ref="A49:F49"/>
    <mergeCell ref="E36:F36"/>
    <mergeCell ref="B37:C37"/>
    <mergeCell ref="E37:F37"/>
    <mergeCell ref="E38:F38"/>
    <mergeCell ref="A39:F39"/>
    <mergeCell ref="A40:E40"/>
    <mergeCell ref="J79:K79"/>
    <mergeCell ref="A80:H80"/>
    <mergeCell ref="J80:K80"/>
    <mergeCell ref="A81:H81"/>
    <mergeCell ref="J81:K81"/>
    <mergeCell ref="A82:I82"/>
    <mergeCell ref="J82:K82"/>
    <mergeCell ref="G69:G70"/>
    <mergeCell ref="H69:I69"/>
    <mergeCell ref="J69:L69"/>
    <mergeCell ref="B71:C71"/>
    <mergeCell ref="E71:F71"/>
    <mergeCell ref="A72:K72"/>
    <mergeCell ref="A76:H76"/>
    <mergeCell ref="J76:K76"/>
    <mergeCell ref="J77:K77"/>
    <mergeCell ref="A77:H77"/>
    <mergeCell ref="B78:H78"/>
    <mergeCell ref="J78:K78"/>
    <mergeCell ref="A79:H79"/>
    <mergeCell ref="J73:K73"/>
    <mergeCell ref="J74:K74"/>
    <mergeCell ref="A75:H75"/>
    <mergeCell ref="J75:K75"/>
    <mergeCell ref="A104:B104"/>
    <mergeCell ref="F104:G104"/>
    <mergeCell ref="I104:J104"/>
    <mergeCell ref="K104:L104"/>
    <mergeCell ref="F107:G107"/>
    <mergeCell ref="I107:J107"/>
    <mergeCell ref="K107:L107"/>
    <mergeCell ref="B97:G97"/>
    <mergeCell ref="K97:L97"/>
    <mergeCell ref="B98:G98"/>
    <mergeCell ref="B99:G99"/>
    <mergeCell ref="B100:G100"/>
    <mergeCell ref="D103:E103"/>
    <mergeCell ref="F103:G103"/>
    <mergeCell ref="K103:L103"/>
    <mergeCell ref="K100:L100"/>
    <mergeCell ref="K101:L101"/>
    <mergeCell ref="K98:L98"/>
    <mergeCell ref="K99:L99"/>
  </mergeCells>
  <conditionalFormatting sqref="J25:K25 J27:K27 J29:K29 J31:K31 J33:K33 J35:K35 J37:K37 B26:C26 B28:C28 B30:C30 B32:C32 B34:C34 B36:C36 B38:C38">
    <cfRule type="cellIs" dxfId="3" priority="4" stopIfTrue="1" operator="equal">
      <formula>0</formula>
    </cfRule>
  </conditionalFormatting>
  <conditionalFormatting sqref="J41:J43">
    <cfRule type="cellIs" dxfId="2" priority="3" stopIfTrue="1" operator="equal">
      <formula>0</formula>
    </cfRule>
  </conditionalFormatting>
  <conditionalFormatting sqref="J55:K55 B56:C56">
    <cfRule type="cellIs" dxfId="1" priority="2" stopIfTrue="1" operator="equal">
      <formula>0</formula>
    </cfRule>
  </conditionalFormatting>
  <conditionalFormatting sqref="J59:J61">
    <cfRule type="cellIs" dxfId="0" priority="1" stopIfTrue="1" operator="equal">
      <formula>0</formula>
    </cfRule>
  </conditionalFormatting>
  <dataValidations count="1">
    <dataValidation type="list" allowBlank="1" showInputMessage="1" showErrorMessage="1" sqref="F41 F59"/>
  </dataValidations>
  <pageMargins left="0.23622047244094491" right="0.23622047244094491" top="0.19685039370078741" bottom="0.19685039370078741" header="0.31496062992125984" footer="0.31496062992125984"/>
  <pageSetup paperSize="9" scale="93" fitToHeight="10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</vt:lpstr>
      <vt:lpstr>Смета!Мат_без_НДС</vt:lpstr>
    </vt:vector>
  </TitlesOfParts>
  <Company>ООО "Орбита-Союз"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Qwest</cp:lastModifiedBy>
  <cp:lastPrinted>2020-08-21T05:51:38Z</cp:lastPrinted>
  <dcterms:created xsi:type="dcterms:W3CDTF">2004-04-18T13:15:50Z</dcterms:created>
  <dcterms:modified xsi:type="dcterms:W3CDTF">2021-10-29T06:21:06Z</dcterms:modified>
</cp:coreProperties>
</file>